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epStore.corp.otpbank.hu\DocStore_06$\BefKapcs\Kozos\BKO\Acquisitions\_M&amp;A_factsheets\"/>
    </mc:Choice>
  </mc:AlternateContent>
  <xr:revisionPtr revIDLastSave="0" documentId="13_ncr:1_{7F432B6C-A5F7-4ACD-AB19-8A409D8A8375}" xr6:coauthVersionLast="47" xr6:coauthVersionMax="47" xr10:uidLastSave="{00000000-0000-0000-0000-000000000000}"/>
  <bookViews>
    <workbookView xWindow="-120" yWindow="-120" windowWidth="29040" windowHeight="15840" activeTab="1" xr2:uid="{00000000-000D-0000-FFFF-FFFF00000000}"/>
  </bookViews>
  <sheets>
    <sheet name="Ipoteka_Uzbekistan" sheetId="14" r:id="rId1"/>
    <sheet name="Nova_KBM_Slovenia" sheetId="11" r:id="rId2"/>
    <sheet name="Alpha_Albania" sheetId="13" r:id="rId3"/>
    <sheet name="SKB_Slovenia" sheetId="9" r:id="rId4"/>
    <sheet name="SG_Montenegro" sheetId="8" r:id="rId5"/>
    <sheet name="SG_Moldova" sheetId="7" r:id="rId6"/>
    <sheet name="SG_Serbia" sheetId="6" r:id="rId7"/>
    <sheet name="SG_Expressbank_Bulgaria" sheetId="1" r:id="rId8"/>
    <sheet name="SG_Albania" sheetId="4" r:id="rId9"/>
  </sheets>
  <externalReferences>
    <externalReference r:id="rId10"/>
    <externalReference r:id="rId11"/>
  </externalReferences>
  <definedNames>
    <definedName name="ID" localSheetId="2" hidden="1">"0279f218-1da5-4ae0-ab11-c6678ec811a2"</definedName>
    <definedName name="ID" localSheetId="0" hidden="1">"b86ec108-d34e-423c-bec9-d399de6f9c5b"</definedName>
    <definedName name="ID" localSheetId="1" hidden="1">"b4a71f0e-ccb9-4246-831f-cb14817efe76"</definedName>
    <definedName name="ID" localSheetId="8" hidden="1">"f5455174-3740-4fcf-aeed-a930a3fddbe3"</definedName>
    <definedName name="ID" localSheetId="7" hidden="1">"37437fd9-512c-4ee5-8a89-17d5dbd1f2cb"</definedName>
    <definedName name="ID" localSheetId="5" hidden="1">"1b8437ca-fa22-4ba7-886a-38756fe5a5ad"</definedName>
    <definedName name="ID" localSheetId="4" hidden="1">"6d8276db-964d-4d72-950c-360989a2decd"</definedName>
    <definedName name="ID" localSheetId="6" hidden="1">"8fadf1e8-3749-4251-ac2e-fc5208c0e239"</definedName>
    <definedName name="ID" localSheetId="3" hidden="1">"9f859761-9b5e-418e-bd24-b62f887acdaa"</definedName>
    <definedName name="_xlnm.Print_Area" localSheetId="2">Alpha_Albania!$A$1:$AB$73</definedName>
    <definedName name="_xlnm.Print_Area" localSheetId="0">Ipoteka_Uzbekistan!$A$1:$AH$77</definedName>
    <definedName name="_xlnm.Print_Area" localSheetId="1">Nova_KBM_Slovenia!$A$1:$X$84</definedName>
    <definedName name="_xlnm.Print_Area" localSheetId="8">SG_Albania!$A$1:$V$73</definedName>
    <definedName name="_xlnm.Print_Area" localSheetId="7">SG_Expressbank_Bulgaria!$A$1:$V$74</definedName>
    <definedName name="_xlnm.Print_Area" localSheetId="5">SG_Moldova!$A$1:$Y$72</definedName>
    <definedName name="_xlnm.Print_Area" localSheetId="4">SG_Montenegro!$A$1:$U$71</definedName>
    <definedName name="_xlnm.Print_Area" localSheetId="6">SG_Serbia!$A$1:$Y$75</definedName>
    <definedName name="_xlnm.Print_Area" localSheetId="3">SKB_Slovenia!$A$1:$S$68</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11" l="1"/>
  <c r="M17" i="11"/>
  <c r="O70" i="14"/>
  <c r="Q68" i="14"/>
  <c r="P68" i="14"/>
  <c r="O68" i="14"/>
  <c r="N68" i="14"/>
  <c r="R67" i="14"/>
  <c r="Q67" i="14"/>
  <c r="P67" i="14"/>
  <c r="O67" i="14"/>
  <c r="N67" i="14"/>
  <c r="M67" i="14"/>
  <c r="R66" i="14"/>
  <c r="Q66" i="14"/>
  <c r="P66" i="14"/>
  <c r="O66" i="14"/>
  <c r="N66" i="14"/>
  <c r="M66" i="14"/>
  <c r="R65" i="14"/>
  <c r="R64" i="14"/>
  <c r="Q64" i="14"/>
  <c r="P64" i="14"/>
  <c r="O64" i="14"/>
  <c r="N64" i="14"/>
  <c r="M64" i="14"/>
  <c r="R63" i="14"/>
  <c r="R62" i="14"/>
  <c r="Q62" i="14"/>
  <c r="P62" i="14"/>
  <c r="O62" i="14"/>
  <c r="N62" i="14"/>
  <c r="M62" i="14"/>
  <c r="R61" i="14"/>
  <c r="Q61" i="14"/>
  <c r="P61" i="14"/>
  <c r="O61" i="14"/>
  <c r="N61" i="14"/>
  <c r="M61" i="14"/>
  <c r="O60" i="14"/>
  <c r="N60" i="14"/>
  <c r="N70" i="14" s="1"/>
  <c r="M60" i="14"/>
  <c r="M70" i="14" s="1"/>
  <c r="R58" i="14"/>
  <c r="AH54" i="14" s="1"/>
  <c r="Q58" i="14"/>
  <c r="AG54" i="14" s="1"/>
  <c r="P58" i="14"/>
  <c r="AF55" i="14" s="1"/>
  <c r="O58" i="14"/>
  <c r="AE55" i="14" s="1"/>
  <c r="N58" i="14"/>
  <c r="M58" i="14"/>
  <c r="L58" i="14"/>
  <c r="AB52" i="14" s="1"/>
  <c r="R57" i="14"/>
  <c r="Q57" i="14"/>
  <c r="Y52" i="14" s="1"/>
  <c r="P57" i="14"/>
  <c r="O57" i="14"/>
  <c r="W53" i="14" s="1"/>
  <c r="N57" i="14"/>
  <c r="V53" i="14" s="1"/>
  <c r="M57" i="14"/>
  <c r="U54" i="14" s="1"/>
  <c r="L57" i="14"/>
  <c r="T54" i="14" s="1"/>
  <c r="AH56" i="14"/>
  <c r="AG56" i="14"/>
  <c r="AD56" i="14"/>
  <c r="AC56" i="14"/>
  <c r="AB56" i="14"/>
  <c r="Z56" i="14"/>
  <c r="X56" i="14"/>
  <c r="W56" i="14"/>
  <c r="V56" i="14"/>
  <c r="U56" i="14"/>
  <c r="T56" i="14"/>
  <c r="AD55" i="14"/>
  <c r="AC55" i="14"/>
  <c r="AB55" i="14"/>
  <c r="Z55" i="14"/>
  <c r="Y55" i="14"/>
  <c r="X55" i="14"/>
  <c r="W55" i="14"/>
  <c r="V55" i="14"/>
  <c r="AD54" i="14"/>
  <c r="AC54" i="14"/>
  <c r="AB54" i="14"/>
  <c r="Z54" i="14"/>
  <c r="Y54" i="14"/>
  <c r="X54" i="14"/>
  <c r="AD53" i="14"/>
  <c r="AC53" i="14"/>
  <c r="AB53" i="14"/>
  <c r="Z53" i="14"/>
  <c r="X53" i="14"/>
  <c r="AD52" i="14"/>
  <c r="AC52" i="14"/>
  <c r="Z52" i="14"/>
  <c r="X52" i="14"/>
  <c r="W52" i="14"/>
  <c r="AB51" i="14"/>
  <c r="Z51" i="14"/>
  <c r="W51" i="14"/>
  <c r="Q51" i="14"/>
  <c r="Y51" i="14" s="1"/>
  <c r="P51" i="14"/>
  <c r="X51" i="14" s="1"/>
  <c r="O51" i="14"/>
  <c r="N51" i="14"/>
  <c r="AD51" i="14" s="1"/>
  <c r="M51" i="14"/>
  <c r="AC51" i="14" s="1"/>
  <c r="L51" i="14"/>
  <c r="Z50" i="14"/>
  <c r="Q50" i="14"/>
  <c r="AG50" i="14" s="1"/>
  <c r="P50" i="14"/>
  <c r="AF50" i="14" s="1"/>
  <c r="O50" i="14"/>
  <c r="W50" i="14" s="1"/>
  <c r="N50" i="14"/>
  <c r="V50" i="14" s="1"/>
  <c r="M50" i="14"/>
  <c r="U50" i="14" s="1"/>
  <c r="L50" i="14"/>
  <c r="T50" i="14" s="1"/>
  <c r="AD49" i="14"/>
  <c r="AB49" i="14"/>
  <c r="Z49" i="14"/>
  <c r="Y49" i="14"/>
  <c r="X49" i="14"/>
  <c r="W49" i="14"/>
  <c r="V49" i="14"/>
  <c r="O49" i="14"/>
  <c r="AE49" i="14" s="1"/>
  <c r="N49" i="14"/>
  <c r="M49" i="14"/>
  <c r="AC49" i="14" s="1"/>
  <c r="Z48" i="14"/>
  <c r="O48" i="14"/>
  <c r="O65" i="14" s="1"/>
  <c r="N48" i="14"/>
  <c r="N65" i="14" s="1"/>
  <c r="M48" i="14"/>
  <c r="M65" i="14" s="1"/>
  <c r="AF47" i="14"/>
  <c r="AE47" i="14"/>
  <c r="AD47" i="14"/>
  <c r="AC47" i="14"/>
  <c r="AB47" i="14"/>
  <c r="Y47" i="14"/>
  <c r="X47" i="14"/>
  <c r="W47" i="14"/>
  <c r="V47" i="14"/>
  <c r="U47" i="14"/>
  <c r="T47" i="14"/>
  <c r="Q47" i="14"/>
  <c r="AG47" i="14" s="1"/>
  <c r="R44" i="14"/>
  <c r="AH36" i="14" s="1"/>
  <c r="Q44" i="14"/>
  <c r="AG42" i="14" s="1"/>
  <c r="P44" i="14"/>
  <c r="AF36" i="14" s="1"/>
  <c r="O44" i="14"/>
  <c r="N44" i="14"/>
  <c r="AD39" i="14" s="1"/>
  <c r="M44" i="14"/>
  <c r="L44" i="14"/>
  <c r="AB35" i="14" s="1"/>
  <c r="R43" i="14"/>
  <c r="Z36" i="14" s="1"/>
  <c r="Q43" i="14"/>
  <c r="Y38" i="14" s="1"/>
  <c r="P43" i="14"/>
  <c r="X36" i="14" s="1"/>
  <c r="O43" i="14"/>
  <c r="N43" i="14"/>
  <c r="M43" i="14"/>
  <c r="L43" i="14"/>
  <c r="T42" i="14" s="1"/>
  <c r="AH42" i="14"/>
  <c r="AE42" i="14"/>
  <c r="AD42" i="14"/>
  <c r="AC42" i="14"/>
  <c r="AB42" i="14"/>
  <c r="Z42" i="14"/>
  <c r="W42" i="14"/>
  <c r="V42" i="14"/>
  <c r="U42" i="14"/>
  <c r="AH41" i="14"/>
  <c r="AG41" i="14"/>
  <c r="AF41" i="14"/>
  <c r="AE41" i="14"/>
  <c r="AD41" i="14"/>
  <c r="AC41" i="14"/>
  <c r="W41" i="14"/>
  <c r="U41" i="14"/>
  <c r="T41" i="14"/>
  <c r="Q41" i="14"/>
  <c r="AG40" i="14" s="1"/>
  <c r="P41" i="14"/>
  <c r="AF40" i="14" s="1"/>
  <c r="O41" i="14"/>
  <c r="AE40" i="14" s="1"/>
  <c r="N41" i="14"/>
  <c r="AD40" i="14" s="1"/>
  <c r="M41" i="14"/>
  <c r="L41" i="14"/>
  <c r="AH40" i="14"/>
  <c r="X40" i="14"/>
  <c r="Q40" i="14"/>
  <c r="Y41" i="14" s="1"/>
  <c r="P40" i="14"/>
  <c r="O40" i="14"/>
  <c r="N40" i="14"/>
  <c r="V41" i="14" s="1"/>
  <c r="M40" i="14"/>
  <c r="U40" i="14" s="1"/>
  <c r="L40" i="14"/>
  <c r="T40" i="14" s="1"/>
  <c r="AH39" i="14"/>
  <c r="AG39" i="14"/>
  <c r="W39" i="14"/>
  <c r="V39" i="14"/>
  <c r="U39" i="14"/>
  <c r="T39" i="14"/>
  <c r="Q39" i="14"/>
  <c r="P39" i="14"/>
  <c r="O39" i="14"/>
  <c r="AE39" i="14" s="1"/>
  <c r="N39" i="14"/>
  <c r="M39" i="14"/>
  <c r="AC39" i="14" s="1"/>
  <c r="L39" i="14"/>
  <c r="AG38" i="14"/>
  <c r="AF38" i="14"/>
  <c r="AE38" i="14"/>
  <c r="AD38" i="14"/>
  <c r="AC38" i="14"/>
  <c r="W38" i="14"/>
  <c r="V38" i="14"/>
  <c r="U38" i="14"/>
  <c r="T38" i="14"/>
  <c r="R38" i="14"/>
  <c r="AH38" i="14" s="1"/>
  <c r="AH37" i="14"/>
  <c r="AG37" i="14"/>
  <c r="AF37" i="14"/>
  <c r="AE37" i="14"/>
  <c r="W37" i="14"/>
  <c r="V37" i="14"/>
  <c r="T37" i="14"/>
  <c r="M37" i="14"/>
  <c r="AC37" i="14" s="1"/>
  <c r="AD36" i="14"/>
  <c r="W36" i="14"/>
  <c r="V36" i="14"/>
  <c r="Q36" i="14"/>
  <c r="AG36" i="14" s="1"/>
  <c r="P36" i="14"/>
  <c r="O36" i="14"/>
  <c r="AE36" i="14" s="1"/>
  <c r="N36" i="14"/>
  <c r="M36" i="14"/>
  <c r="AC36" i="14" s="1"/>
  <c r="L36" i="14"/>
  <c r="AB36" i="14" s="1"/>
  <c r="AH35" i="14"/>
  <c r="AE35" i="14"/>
  <c r="W35" i="14"/>
  <c r="V35" i="14"/>
  <c r="U35" i="14"/>
  <c r="T35" i="14"/>
  <c r="Q35" i="14"/>
  <c r="Y35" i="14" s="1"/>
  <c r="P35" i="14"/>
  <c r="X35" i="14" s="1"/>
  <c r="O35" i="14"/>
  <c r="N35" i="14"/>
  <c r="M35" i="14"/>
  <c r="AC35" i="14" s="1"/>
  <c r="L35" i="14"/>
  <c r="AH34" i="14"/>
  <c r="AG34" i="14"/>
  <c r="AE34" i="14"/>
  <c r="AD34" i="14"/>
  <c r="AC34" i="14"/>
  <c r="AB34" i="14"/>
  <c r="Z34" i="14"/>
  <c r="W34" i="14"/>
  <c r="V34" i="14"/>
  <c r="U34" i="14"/>
  <c r="T34" i="14"/>
  <c r="R34" i="14"/>
  <c r="R68" i="14" s="1"/>
  <c r="AE33" i="14"/>
  <c r="AD33" i="14"/>
  <c r="V33" i="14"/>
  <c r="U33" i="14"/>
  <c r="T33" i="14"/>
  <c r="R33" i="14"/>
  <c r="Z33" i="14" s="1"/>
  <c r="Q33" i="14"/>
  <c r="Y33" i="14" s="1"/>
  <c r="P33" i="14"/>
  <c r="X33" i="14" s="1"/>
  <c r="O33" i="14"/>
  <c r="W33" i="14" s="1"/>
  <c r="N33" i="14"/>
  <c r="M33" i="14"/>
  <c r="AC33" i="14" s="1"/>
  <c r="L33" i="14"/>
  <c r="AB33" i="14" s="1"/>
  <c r="AH32" i="14"/>
  <c r="AG32" i="14"/>
  <c r="AE32" i="14"/>
  <c r="AD32" i="14"/>
  <c r="AC32" i="14"/>
  <c r="AB32" i="14"/>
  <c r="Z32" i="14"/>
  <c r="W32" i="14"/>
  <c r="V32" i="14"/>
  <c r="U32" i="14"/>
  <c r="T32" i="14"/>
  <c r="AG31" i="14"/>
  <c r="AF31" i="14"/>
  <c r="AE31" i="14"/>
  <c r="AD31" i="14"/>
  <c r="AC31" i="14"/>
  <c r="AB31" i="14"/>
  <c r="Y31" i="14"/>
  <c r="X31" i="14"/>
  <c r="W31" i="14"/>
  <c r="V31" i="14"/>
  <c r="U31" i="14"/>
  <c r="T31" i="14"/>
  <c r="P25" i="14"/>
  <c r="M25" i="14"/>
  <c r="P24" i="14"/>
  <c r="M24" i="14"/>
  <c r="P23" i="14"/>
  <c r="M23" i="14"/>
  <c r="P22" i="14"/>
  <c r="M22" i="14"/>
  <c r="P21" i="14"/>
  <c r="M21" i="14"/>
  <c r="P20" i="14"/>
  <c r="M20" i="14"/>
  <c r="P19" i="14"/>
  <c r="M19" i="14"/>
  <c r="P18" i="14"/>
  <c r="M18" i="14"/>
  <c r="P17" i="14"/>
  <c r="M17" i="14"/>
  <c r="P16" i="14"/>
  <c r="M16" i="14"/>
  <c r="N19" i="13"/>
  <c r="L19" i="13"/>
  <c r="P70" i="13"/>
  <c r="O70" i="13"/>
  <c r="N70" i="13"/>
  <c r="X32" i="13"/>
  <c r="T45" i="13"/>
  <c r="U45" i="13"/>
  <c r="V45" i="13"/>
  <c r="S46" i="13"/>
  <c r="T46" i="13"/>
  <c r="U46" i="13"/>
  <c r="V46" i="13"/>
  <c r="S47" i="13"/>
  <c r="T47" i="13"/>
  <c r="U47" i="13"/>
  <c r="V47" i="13"/>
  <c r="S49" i="13"/>
  <c r="T49" i="13"/>
  <c r="U49" i="13"/>
  <c r="V49" i="13"/>
  <c r="S50" i="13"/>
  <c r="T50" i="13"/>
  <c r="U50" i="13"/>
  <c r="V50" i="13"/>
  <c r="S52" i="13"/>
  <c r="V52" i="13"/>
  <c r="Z45" i="13"/>
  <c r="AA45" i="13"/>
  <c r="AB45" i="13"/>
  <c r="Y46" i="13"/>
  <c r="Z46" i="13"/>
  <c r="AA46" i="13"/>
  <c r="AB46" i="13"/>
  <c r="Y47" i="13"/>
  <c r="Z47" i="13"/>
  <c r="AA47" i="13"/>
  <c r="AB47" i="13"/>
  <c r="Y49" i="13"/>
  <c r="Z49" i="13"/>
  <c r="AA49" i="13"/>
  <c r="AB49" i="13"/>
  <c r="Y50" i="13"/>
  <c r="Z50" i="13"/>
  <c r="AA50" i="13"/>
  <c r="AB50" i="13"/>
  <c r="Y52" i="13"/>
  <c r="AB52" i="13"/>
  <c r="P51" i="13"/>
  <c r="AB51" i="13"/>
  <c r="O51" i="13"/>
  <c r="U51" i="13"/>
  <c r="P48" i="13"/>
  <c r="AB48" i="13"/>
  <c r="N60" i="13"/>
  <c r="O60" i="13"/>
  <c r="P60" i="13"/>
  <c r="N61" i="13"/>
  <c r="O61" i="13"/>
  <c r="P61" i="13"/>
  <c r="N62" i="13"/>
  <c r="O62" i="13"/>
  <c r="P62" i="13"/>
  <c r="N63" i="13"/>
  <c r="O63" i="13"/>
  <c r="P63" i="13"/>
  <c r="N64" i="13"/>
  <c r="O64" i="13"/>
  <c r="P64" i="13"/>
  <c r="N65" i="13"/>
  <c r="O65" i="13"/>
  <c r="P65" i="13"/>
  <c r="P44" i="13"/>
  <c r="P57" i="13"/>
  <c r="Y32" i="13"/>
  <c r="Z32" i="13"/>
  <c r="AA32" i="13"/>
  <c r="AB32" i="13"/>
  <c r="Y34" i="13"/>
  <c r="Z34" i="13"/>
  <c r="AA34" i="13"/>
  <c r="AB34" i="13"/>
  <c r="Y37" i="13"/>
  <c r="Z37" i="13"/>
  <c r="AA37" i="13"/>
  <c r="AB37" i="13"/>
  <c r="Y40" i="13"/>
  <c r="Z40" i="13"/>
  <c r="AA40" i="13"/>
  <c r="AB40" i="13"/>
  <c r="T32" i="13"/>
  <c r="U32" i="13"/>
  <c r="V32" i="13"/>
  <c r="T34" i="13"/>
  <c r="U34" i="13"/>
  <c r="V34" i="13"/>
  <c r="T37" i="13"/>
  <c r="U37" i="13"/>
  <c r="V37" i="13"/>
  <c r="U39" i="13"/>
  <c r="T40" i="13"/>
  <c r="U40" i="13"/>
  <c r="V40" i="13"/>
  <c r="P39" i="13"/>
  <c r="AB39" i="13"/>
  <c r="P38" i="13"/>
  <c r="AB38" i="13"/>
  <c r="O39" i="13"/>
  <c r="AA39" i="13"/>
  <c r="N39" i="13"/>
  <c r="Z39" i="13"/>
  <c r="N38" i="13"/>
  <c r="Z38" i="13"/>
  <c r="P35" i="13"/>
  <c r="AB35" i="13"/>
  <c r="N35" i="13"/>
  <c r="Z35" i="13"/>
  <c r="P33" i="13"/>
  <c r="AB33" i="13"/>
  <c r="O33" i="13"/>
  <c r="U33" i="13"/>
  <c r="N33" i="13"/>
  <c r="T33" i="13"/>
  <c r="O38" i="13"/>
  <c r="U38" i="13"/>
  <c r="O35" i="13"/>
  <c r="AA35" i="13"/>
  <c r="U31" i="13"/>
  <c r="V31" i="13"/>
  <c r="AA31" i="13"/>
  <c r="V44" i="13"/>
  <c r="T31" i="13"/>
  <c r="Z31" i="13"/>
  <c r="R31" i="13"/>
  <c r="X31" i="13"/>
  <c r="S31" i="13"/>
  <c r="Y31" i="13"/>
  <c r="R32" i="13"/>
  <c r="S32" i="13"/>
  <c r="R34" i="13"/>
  <c r="S34" i="13"/>
  <c r="X34" i="13"/>
  <c r="R37" i="13"/>
  <c r="S37" i="13"/>
  <c r="X37" i="13"/>
  <c r="R40" i="13"/>
  <c r="S40" i="13"/>
  <c r="X40" i="13"/>
  <c r="R46" i="13"/>
  <c r="X46" i="13"/>
  <c r="R47" i="13"/>
  <c r="X47" i="13"/>
  <c r="R49" i="13"/>
  <c r="X49" i="13"/>
  <c r="R50" i="13"/>
  <c r="X50" i="13"/>
  <c r="R52" i="13"/>
  <c r="X52" i="13"/>
  <c r="U35" i="13"/>
  <c r="P53" i="13"/>
  <c r="V53" i="13"/>
  <c r="O36" i="13"/>
  <c r="AA36" i="13" s="1"/>
  <c r="U36" i="13"/>
  <c r="N36" i="13"/>
  <c r="T36" i="13"/>
  <c r="AA51" i="13"/>
  <c r="T38" i="13"/>
  <c r="AA38" i="13"/>
  <c r="P36" i="13"/>
  <c r="T39" i="13"/>
  <c r="T35" i="13"/>
  <c r="V33" i="13"/>
  <c r="Z36" i="13"/>
  <c r="Z33" i="13"/>
  <c r="AB53" i="13"/>
  <c r="V51" i="13"/>
  <c r="V48" i="13"/>
  <c r="P58" i="13"/>
  <c r="AA33" i="13"/>
  <c r="V38" i="13"/>
  <c r="P59" i="13"/>
  <c r="V39" i="13"/>
  <c r="V35" i="13"/>
  <c r="V48" i="11"/>
  <c r="AB36" i="13"/>
  <c r="V36" i="13"/>
  <c r="W60" i="11"/>
  <c r="W59" i="11"/>
  <c r="W58" i="11"/>
  <c r="W57" i="11"/>
  <c r="W56" i="11"/>
  <c r="W54" i="11"/>
  <c r="W51" i="11"/>
  <c r="W50" i="11"/>
  <c r="W49" i="11"/>
  <c r="O65" i="11"/>
  <c r="O73" i="11"/>
  <c r="O72" i="11"/>
  <c r="O71" i="11"/>
  <c r="O70" i="11"/>
  <c r="O69" i="11"/>
  <c r="O68" i="11"/>
  <c r="O67" i="11"/>
  <c r="O66" i="11"/>
  <c r="P73" i="11"/>
  <c r="P72" i="11"/>
  <c r="P68" i="11"/>
  <c r="P66" i="11"/>
  <c r="P65" i="11"/>
  <c r="V49" i="11"/>
  <c r="V50" i="11"/>
  <c r="V51" i="11"/>
  <c r="V52" i="11"/>
  <c r="V53" i="11"/>
  <c r="V54" i="11"/>
  <c r="V55" i="11"/>
  <c r="V56" i="11"/>
  <c r="V57" i="11"/>
  <c r="V58" i="11"/>
  <c r="V59" i="11"/>
  <c r="V60" i="11"/>
  <c r="P55" i="11"/>
  <c r="W55" i="11"/>
  <c r="P53" i="11"/>
  <c r="W53" i="11"/>
  <c r="W46" i="11"/>
  <c r="P52" i="11"/>
  <c r="P48" i="11"/>
  <c r="W48" i="11"/>
  <c r="W42" i="11"/>
  <c r="W34" i="11"/>
  <c r="W33" i="11"/>
  <c r="W35" i="11"/>
  <c r="W36" i="11"/>
  <c r="W37" i="11"/>
  <c r="W38" i="11"/>
  <c r="W39" i="11"/>
  <c r="W40" i="11"/>
  <c r="W41" i="11"/>
  <c r="U33" i="11"/>
  <c r="N73" i="11"/>
  <c r="Z71" i="13"/>
  <c r="M65" i="13"/>
  <c r="L65" i="13"/>
  <c r="M64" i="13"/>
  <c r="L64" i="13"/>
  <c r="M63" i="13"/>
  <c r="L63" i="13"/>
  <c r="M61" i="13"/>
  <c r="L61" i="13"/>
  <c r="N51" i="13"/>
  <c r="O48" i="13"/>
  <c r="N48" i="13"/>
  <c r="M48" i="13"/>
  <c r="L48" i="13"/>
  <c r="O44" i="13"/>
  <c r="O57" i="13" s="1"/>
  <c r="O67" i="13" s="1"/>
  <c r="N44" i="13"/>
  <c r="N57" i="13"/>
  <c r="M44" i="13"/>
  <c r="L44" i="13"/>
  <c r="M39" i="13"/>
  <c r="Y39" i="13"/>
  <c r="L39" i="13"/>
  <c r="M38" i="13"/>
  <c r="Y38" i="13"/>
  <c r="L38" i="13"/>
  <c r="M35" i="13"/>
  <c r="Y35" i="13"/>
  <c r="L35" i="13"/>
  <c r="M33" i="13"/>
  <c r="Y33" i="13"/>
  <c r="L33" i="13"/>
  <c r="N48" i="11"/>
  <c r="N52" i="11"/>
  <c r="N53" i="11"/>
  <c r="U53" i="11"/>
  <c r="N63" i="11"/>
  <c r="N75" i="11"/>
  <c r="M63" i="11"/>
  <c r="M75" i="11"/>
  <c r="L63" i="11"/>
  <c r="L75" i="11"/>
  <c r="M73" i="11"/>
  <c r="L73" i="11"/>
  <c r="N72" i="11"/>
  <c r="M72" i="11"/>
  <c r="L72" i="11"/>
  <c r="M53" i="11"/>
  <c r="T53" i="11"/>
  <c r="L53" i="11"/>
  <c r="L71" i="11"/>
  <c r="N70" i="11"/>
  <c r="M52" i="11"/>
  <c r="T52" i="11"/>
  <c r="L52" i="11"/>
  <c r="S52" i="11"/>
  <c r="M48" i="11"/>
  <c r="T48" i="11"/>
  <c r="L48" i="11"/>
  <c r="S48" i="11"/>
  <c r="N68" i="11"/>
  <c r="M68" i="11"/>
  <c r="L68" i="11"/>
  <c r="N66" i="11"/>
  <c r="M66" i="11"/>
  <c r="L66" i="11"/>
  <c r="N65" i="11"/>
  <c r="M65" i="11"/>
  <c r="L65" i="11"/>
  <c r="U60" i="11"/>
  <c r="T60" i="11"/>
  <c r="S60" i="11"/>
  <c r="R60" i="11"/>
  <c r="U59" i="11"/>
  <c r="T59" i="11"/>
  <c r="S59" i="11"/>
  <c r="R59" i="11"/>
  <c r="U58" i="11"/>
  <c r="T58" i="11"/>
  <c r="S58" i="11"/>
  <c r="R58" i="11"/>
  <c r="U57" i="11"/>
  <c r="T57" i="11"/>
  <c r="S57" i="11"/>
  <c r="R57" i="11"/>
  <c r="U56" i="11"/>
  <c r="T56" i="11"/>
  <c r="S56" i="11"/>
  <c r="R56" i="11"/>
  <c r="U55" i="11"/>
  <c r="T55" i="11"/>
  <c r="S55" i="11"/>
  <c r="R55" i="11"/>
  <c r="U54" i="11"/>
  <c r="T54" i="11"/>
  <c r="S54" i="11"/>
  <c r="R54" i="11"/>
  <c r="S53" i="11"/>
  <c r="K53" i="11"/>
  <c r="R53" i="11"/>
  <c r="U52" i="11"/>
  <c r="K52" i="11"/>
  <c r="R52" i="11"/>
  <c r="U51" i="11"/>
  <c r="T51" i="11"/>
  <c r="S51" i="11"/>
  <c r="R51" i="11"/>
  <c r="U50" i="11"/>
  <c r="T50" i="11"/>
  <c r="S50" i="11"/>
  <c r="R50" i="11"/>
  <c r="U49" i="11"/>
  <c r="T49" i="11"/>
  <c r="S49" i="11"/>
  <c r="R49" i="11"/>
  <c r="K48" i="11"/>
  <c r="R48" i="11"/>
  <c r="U46" i="11"/>
  <c r="T46" i="11"/>
  <c r="S46" i="11"/>
  <c r="R46" i="11"/>
  <c r="U42" i="11"/>
  <c r="T42" i="11"/>
  <c r="S42" i="11"/>
  <c r="R42" i="11"/>
  <c r="U41" i="11"/>
  <c r="T41" i="11"/>
  <c r="S41" i="11"/>
  <c r="R41" i="11"/>
  <c r="U40" i="11"/>
  <c r="T40" i="11"/>
  <c r="S40" i="11"/>
  <c r="R40" i="11"/>
  <c r="U39" i="11"/>
  <c r="T39" i="11"/>
  <c r="S39" i="11"/>
  <c r="R39" i="11"/>
  <c r="T38" i="11"/>
  <c r="S38" i="11"/>
  <c r="R38" i="11"/>
  <c r="U37" i="11"/>
  <c r="T37" i="11"/>
  <c r="S37" i="11"/>
  <c r="R37" i="11"/>
  <c r="U36" i="11"/>
  <c r="T36" i="11"/>
  <c r="S36" i="11"/>
  <c r="R36" i="11"/>
  <c r="U35" i="11"/>
  <c r="T35" i="11"/>
  <c r="S35" i="11"/>
  <c r="R35" i="11"/>
  <c r="U34" i="11"/>
  <c r="T34" i="11"/>
  <c r="S34" i="11"/>
  <c r="R34" i="11"/>
  <c r="T33" i="11"/>
  <c r="S33" i="11"/>
  <c r="R33" i="11"/>
  <c r="N16" i="8"/>
  <c r="W73" i="6"/>
  <c r="O49" i="6"/>
  <c r="Y49" i="6"/>
  <c r="N49" i="6"/>
  <c r="S49" i="6"/>
  <c r="L49" i="6"/>
  <c r="L46" i="6"/>
  <c r="M49" i="6"/>
  <c r="M46" i="6"/>
  <c r="M61" i="6"/>
  <c r="L50" i="6"/>
  <c r="L64" i="6"/>
  <c r="M50" i="6"/>
  <c r="W50" i="6"/>
  <c r="N50" i="6"/>
  <c r="X50" i="6"/>
  <c r="O50" i="6"/>
  <c r="T43" i="8"/>
  <c r="T44" i="8"/>
  <c r="T45" i="8"/>
  <c r="T46" i="8"/>
  <c r="T47" i="8"/>
  <c r="T48" i="8"/>
  <c r="T49" i="8"/>
  <c r="T50" i="8"/>
  <c r="T51" i="8"/>
  <c r="O55" i="8"/>
  <c r="O56" i="8"/>
  <c r="O57" i="8"/>
  <c r="O58" i="8"/>
  <c r="O59" i="8"/>
  <c r="O60" i="8"/>
  <c r="O61" i="8"/>
  <c r="O62" i="8"/>
  <c r="T42" i="8"/>
  <c r="O42" i="8"/>
  <c r="O54" i="8"/>
  <c r="O35" i="8"/>
  <c r="T35" i="8"/>
  <c r="T31" i="8"/>
  <c r="T32" i="8"/>
  <c r="T33" i="8"/>
  <c r="T34" i="8"/>
  <c r="T36" i="8"/>
  <c r="T37" i="8"/>
  <c r="T38" i="8"/>
  <c r="T39" i="8"/>
  <c r="Q16" i="8"/>
  <c r="R17" i="6"/>
  <c r="R16" i="1"/>
  <c r="O70" i="6"/>
  <c r="N70" i="6"/>
  <c r="O59" i="6"/>
  <c r="O60" i="6"/>
  <c r="O62" i="6"/>
  <c r="O65" i="6"/>
  <c r="O66" i="6"/>
  <c r="Y47" i="6"/>
  <c r="Y48" i="6"/>
  <c r="Y50" i="6"/>
  <c r="Y51" i="6"/>
  <c r="Y52" i="6"/>
  <c r="O53" i="6"/>
  <c r="Y53" i="6"/>
  <c r="Y54" i="6"/>
  <c r="T47" i="6"/>
  <c r="T48" i="6"/>
  <c r="T49" i="6"/>
  <c r="T51" i="6"/>
  <c r="T52" i="6"/>
  <c r="T54" i="6"/>
  <c r="Y33" i="6"/>
  <c r="O34" i="6"/>
  <c r="Y34" i="6"/>
  <c r="Y35" i="6"/>
  <c r="Y36" i="6"/>
  <c r="Y37" i="6"/>
  <c r="Y38" i="6"/>
  <c r="Y39" i="6"/>
  <c r="Y40" i="6"/>
  <c r="Y41" i="6"/>
  <c r="T33" i="6"/>
  <c r="T35" i="6"/>
  <c r="T36" i="6"/>
  <c r="T37" i="6"/>
  <c r="T38" i="6"/>
  <c r="T39" i="6"/>
  <c r="T40" i="6"/>
  <c r="T41" i="6"/>
  <c r="O63" i="7"/>
  <c r="O56" i="7"/>
  <c r="O57" i="7"/>
  <c r="O58" i="7"/>
  <c r="O59" i="7"/>
  <c r="O47" i="7"/>
  <c r="O60" i="7"/>
  <c r="O62" i="7"/>
  <c r="Y43" i="7"/>
  <c r="Y44" i="7"/>
  <c r="Y45" i="7"/>
  <c r="O46" i="7"/>
  <c r="Y46" i="7"/>
  <c r="Y48" i="7"/>
  <c r="Y49" i="7"/>
  <c r="Y50" i="7"/>
  <c r="Y51" i="7"/>
  <c r="T43" i="7"/>
  <c r="T44" i="7"/>
  <c r="T45" i="7"/>
  <c r="T46" i="7"/>
  <c r="T48" i="7"/>
  <c r="T49" i="7"/>
  <c r="T50" i="7"/>
  <c r="T51" i="7"/>
  <c r="Y34" i="7"/>
  <c r="Y30" i="7"/>
  <c r="O31" i="7"/>
  <c r="T31" i="7"/>
  <c r="Y31" i="7"/>
  <c r="Y32" i="7"/>
  <c r="Y33" i="7"/>
  <c r="Y35" i="7"/>
  <c r="Y36" i="7"/>
  <c r="Y37" i="7"/>
  <c r="Y38" i="7"/>
  <c r="T36" i="7"/>
  <c r="T30" i="7"/>
  <c r="T32" i="7"/>
  <c r="T33" i="7"/>
  <c r="T34" i="7"/>
  <c r="T35" i="7"/>
  <c r="T37" i="7"/>
  <c r="T38" i="7"/>
  <c r="R66" i="9"/>
  <c r="N59" i="9"/>
  <c r="M59" i="9"/>
  <c r="L59" i="9"/>
  <c r="N58" i="9"/>
  <c r="M58" i="9"/>
  <c r="L58" i="9"/>
  <c r="N57" i="9"/>
  <c r="M57" i="9"/>
  <c r="L57" i="9"/>
  <c r="N56" i="9"/>
  <c r="M56" i="9"/>
  <c r="L56" i="9"/>
  <c r="N55" i="9"/>
  <c r="M55" i="9"/>
  <c r="L55" i="9"/>
  <c r="N54" i="9"/>
  <c r="M54" i="9"/>
  <c r="L54" i="9"/>
  <c r="N53" i="9"/>
  <c r="M53" i="9"/>
  <c r="L53" i="9"/>
  <c r="N52" i="9"/>
  <c r="M52" i="9"/>
  <c r="L52" i="9"/>
  <c r="R48" i="9"/>
  <c r="Q48" i="9"/>
  <c r="P48" i="9"/>
  <c r="R47" i="9"/>
  <c r="Q47" i="9"/>
  <c r="P47" i="9"/>
  <c r="R46" i="9"/>
  <c r="Q46" i="9"/>
  <c r="P46" i="9"/>
  <c r="R45" i="9"/>
  <c r="Q45" i="9"/>
  <c r="P45" i="9"/>
  <c r="R44" i="9"/>
  <c r="Q44" i="9"/>
  <c r="P44" i="9"/>
  <c r="R43" i="9"/>
  <c r="Q43" i="9"/>
  <c r="P43" i="9"/>
  <c r="R42" i="9"/>
  <c r="Q42" i="9"/>
  <c r="P42" i="9"/>
  <c r="R41" i="9"/>
  <c r="Q41" i="9"/>
  <c r="P41" i="9"/>
  <c r="R40" i="9"/>
  <c r="Q40" i="9"/>
  <c r="P40" i="9"/>
  <c r="R36" i="9"/>
  <c r="Q36" i="9"/>
  <c r="P36" i="9"/>
  <c r="R35" i="9"/>
  <c r="Q35" i="9"/>
  <c r="R34" i="9"/>
  <c r="Q34" i="9"/>
  <c r="R33" i="9"/>
  <c r="Q33" i="9"/>
  <c r="P33" i="9"/>
  <c r="R32" i="9"/>
  <c r="Q32" i="9"/>
  <c r="Q31" i="9"/>
  <c r="N31" i="9"/>
  <c r="R31" i="9"/>
  <c r="R30" i="9"/>
  <c r="Q30" i="9"/>
  <c r="R29" i="9"/>
  <c r="Q29" i="9"/>
  <c r="P29" i="9"/>
  <c r="R28" i="9"/>
  <c r="Q28" i="9"/>
  <c r="P28" i="9"/>
  <c r="R27" i="9"/>
  <c r="Q27" i="9"/>
  <c r="P27" i="9"/>
  <c r="L19" i="9"/>
  <c r="Q19" i="9"/>
  <c r="N62" i="8"/>
  <c r="M62" i="8"/>
  <c r="L62" i="8"/>
  <c r="N61" i="8"/>
  <c r="M61" i="8"/>
  <c r="L61" i="8"/>
  <c r="N60" i="8"/>
  <c r="M60" i="8"/>
  <c r="L60" i="8"/>
  <c r="N59" i="8"/>
  <c r="M59" i="8"/>
  <c r="L59" i="8"/>
  <c r="N58" i="8"/>
  <c r="M58" i="8"/>
  <c r="L58" i="8"/>
  <c r="N57" i="8"/>
  <c r="M57" i="8"/>
  <c r="L57" i="8"/>
  <c r="N56" i="8"/>
  <c r="M56" i="8"/>
  <c r="L56" i="8"/>
  <c r="N55" i="8"/>
  <c r="M55" i="8"/>
  <c r="L55" i="8"/>
  <c r="S51" i="8"/>
  <c r="R51" i="8"/>
  <c r="Q51" i="8"/>
  <c r="S50" i="8"/>
  <c r="R50" i="8"/>
  <c r="Q50" i="8"/>
  <c r="S49" i="8"/>
  <c r="R49" i="8"/>
  <c r="Q49" i="8"/>
  <c r="S48" i="8"/>
  <c r="R48" i="8"/>
  <c r="Q48" i="8"/>
  <c r="S47" i="8"/>
  <c r="R47" i="8"/>
  <c r="Q47" i="8"/>
  <c r="S46" i="8"/>
  <c r="R46" i="8"/>
  <c r="Q46" i="8"/>
  <c r="S45" i="8"/>
  <c r="R45" i="8"/>
  <c r="Q45" i="8"/>
  <c r="S44" i="8"/>
  <c r="R44" i="8"/>
  <c r="Q44" i="8"/>
  <c r="S43" i="8"/>
  <c r="R43" i="8"/>
  <c r="Q43" i="8"/>
  <c r="S39" i="8"/>
  <c r="R39" i="8"/>
  <c r="Q39" i="8"/>
  <c r="S38" i="8"/>
  <c r="R38" i="8"/>
  <c r="Q38" i="8"/>
  <c r="S37" i="8"/>
  <c r="R37" i="8"/>
  <c r="Q37" i="8"/>
  <c r="S36" i="8"/>
  <c r="R36" i="8"/>
  <c r="Q36" i="8"/>
  <c r="S35" i="8"/>
  <c r="R35" i="8"/>
  <c r="Q35" i="8"/>
  <c r="S34" i="8"/>
  <c r="R34" i="8"/>
  <c r="Q34" i="8"/>
  <c r="S33" i="8"/>
  <c r="R33" i="8"/>
  <c r="Q33" i="8"/>
  <c r="S32" i="8"/>
  <c r="R32" i="8"/>
  <c r="Q32" i="8"/>
  <c r="S31" i="8"/>
  <c r="R31" i="8"/>
  <c r="Q31" i="8"/>
  <c r="N63" i="7"/>
  <c r="M63" i="7"/>
  <c r="L63" i="7"/>
  <c r="N62" i="7"/>
  <c r="M62" i="7"/>
  <c r="L62" i="7"/>
  <c r="N61" i="7"/>
  <c r="M61" i="7"/>
  <c r="L61" i="7"/>
  <c r="N60" i="7"/>
  <c r="M60" i="7"/>
  <c r="L60" i="7"/>
  <c r="N59" i="7"/>
  <c r="M59" i="7"/>
  <c r="L59" i="7"/>
  <c r="N58" i="7"/>
  <c r="M58" i="7"/>
  <c r="L58" i="7"/>
  <c r="N57" i="7"/>
  <c r="M57" i="7"/>
  <c r="L57" i="7"/>
  <c r="N56" i="7"/>
  <c r="M56" i="7"/>
  <c r="L56" i="7"/>
  <c r="X51" i="7"/>
  <c r="W51" i="7"/>
  <c r="V51" i="7"/>
  <c r="S51" i="7"/>
  <c r="R51" i="7"/>
  <c r="Q51" i="7"/>
  <c r="X50" i="7"/>
  <c r="W50" i="7"/>
  <c r="V50" i="7"/>
  <c r="S50" i="7"/>
  <c r="R50" i="7"/>
  <c r="Q50" i="7"/>
  <c r="X49" i="7"/>
  <c r="W49" i="7"/>
  <c r="V49" i="7"/>
  <c r="S49" i="7"/>
  <c r="R49" i="7"/>
  <c r="Q49" i="7"/>
  <c r="X48" i="7"/>
  <c r="W48" i="7"/>
  <c r="V48" i="7"/>
  <c r="S48" i="7"/>
  <c r="R48" i="7"/>
  <c r="Q48" i="7"/>
  <c r="X47" i="7"/>
  <c r="W47" i="7"/>
  <c r="V47" i="7"/>
  <c r="S47" i="7"/>
  <c r="R47" i="7"/>
  <c r="Q47" i="7"/>
  <c r="X46" i="7"/>
  <c r="W46" i="7"/>
  <c r="V46" i="7"/>
  <c r="S46" i="7"/>
  <c r="R46" i="7"/>
  <c r="Q46" i="7"/>
  <c r="X45" i="7"/>
  <c r="W45" i="7"/>
  <c r="V45" i="7"/>
  <c r="S45" i="7"/>
  <c r="R45" i="7"/>
  <c r="Q45" i="7"/>
  <c r="X44" i="7"/>
  <c r="W44" i="7"/>
  <c r="V44" i="7"/>
  <c r="S44" i="7"/>
  <c r="R44" i="7"/>
  <c r="Q44" i="7"/>
  <c r="X43" i="7"/>
  <c r="W43" i="7"/>
  <c r="V43" i="7"/>
  <c r="S43" i="7"/>
  <c r="R43" i="7"/>
  <c r="Q43" i="7"/>
  <c r="X38" i="7"/>
  <c r="W38" i="7"/>
  <c r="V38" i="7"/>
  <c r="S38" i="7"/>
  <c r="R38" i="7"/>
  <c r="Q38" i="7"/>
  <c r="X37" i="7"/>
  <c r="W37" i="7"/>
  <c r="V37" i="7"/>
  <c r="S37" i="7"/>
  <c r="R37" i="7"/>
  <c r="Q37" i="7"/>
  <c r="X36" i="7"/>
  <c r="W36" i="7"/>
  <c r="V36" i="7"/>
  <c r="S36" i="7"/>
  <c r="R36" i="7"/>
  <c r="Q36" i="7"/>
  <c r="X35" i="7"/>
  <c r="W35" i="7"/>
  <c r="V35" i="7"/>
  <c r="S35" i="7"/>
  <c r="R35" i="7"/>
  <c r="Q35" i="7"/>
  <c r="X34" i="7"/>
  <c r="W34" i="7"/>
  <c r="V34" i="7"/>
  <c r="S34" i="7"/>
  <c r="R34" i="7"/>
  <c r="Q34" i="7"/>
  <c r="X33" i="7"/>
  <c r="W33" i="7"/>
  <c r="V33" i="7"/>
  <c r="S33" i="7"/>
  <c r="R33" i="7"/>
  <c r="Q33" i="7"/>
  <c r="X32" i="7"/>
  <c r="W32" i="7"/>
  <c r="V32" i="7"/>
  <c r="S32" i="7"/>
  <c r="R32" i="7"/>
  <c r="Q32" i="7"/>
  <c r="X31" i="7"/>
  <c r="W31" i="7"/>
  <c r="V31" i="7"/>
  <c r="S31" i="7"/>
  <c r="R31" i="7"/>
  <c r="Q31" i="7"/>
  <c r="X30" i="7"/>
  <c r="W30" i="7"/>
  <c r="V30" i="7"/>
  <c r="S30" i="7"/>
  <c r="R30" i="7"/>
  <c r="Q30" i="7"/>
  <c r="N66" i="6"/>
  <c r="M66" i="6"/>
  <c r="L66" i="6"/>
  <c r="N65" i="6"/>
  <c r="M65" i="6"/>
  <c r="L65" i="6"/>
  <c r="N64" i="6"/>
  <c r="M64" i="6"/>
  <c r="N62" i="6"/>
  <c r="M62" i="6"/>
  <c r="L62" i="6"/>
  <c r="N60" i="6"/>
  <c r="M60" i="6"/>
  <c r="L60" i="6"/>
  <c r="N59" i="6"/>
  <c r="M59" i="6"/>
  <c r="L59" i="6"/>
  <c r="X54" i="6"/>
  <c r="W54" i="6"/>
  <c r="V54" i="6"/>
  <c r="S54" i="6"/>
  <c r="R54" i="6"/>
  <c r="Q54" i="6"/>
  <c r="X53" i="6"/>
  <c r="W53" i="6"/>
  <c r="V53" i="6"/>
  <c r="S53" i="6"/>
  <c r="R53" i="6"/>
  <c r="Q53" i="6"/>
  <c r="X52" i="6"/>
  <c r="W52" i="6"/>
  <c r="V52" i="6"/>
  <c r="S52" i="6"/>
  <c r="R52" i="6"/>
  <c r="Q52" i="6"/>
  <c r="X51" i="6"/>
  <c r="W51" i="6"/>
  <c r="V51" i="6"/>
  <c r="S51" i="6"/>
  <c r="R51" i="6"/>
  <c r="Q51" i="6"/>
  <c r="S50" i="6"/>
  <c r="R50" i="6"/>
  <c r="X49" i="6"/>
  <c r="W49" i="6"/>
  <c r="V49" i="6"/>
  <c r="R49" i="6"/>
  <c r="Q49" i="6"/>
  <c r="X48" i="6"/>
  <c r="W48" i="6"/>
  <c r="V48" i="6"/>
  <c r="S48" i="6"/>
  <c r="R48" i="6"/>
  <c r="Q48" i="6"/>
  <c r="X47" i="6"/>
  <c r="W47" i="6"/>
  <c r="V47" i="6"/>
  <c r="S47" i="6"/>
  <c r="R47" i="6"/>
  <c r="Q47" i="6"/>
  <c r="R46" i="6"/>
  <c r="X41" i="6"/>
  <c r="W41" i="6"/>
  <c r="V41" i="6"/>
  <c r="S41" i="6"/>
  <c r="R41" i="6"/>
  <c r="Q41" i="6"/>
  <c r="X40" i="6"/>
  <c r="W40" i="6"/>
  <c r="V40" i="6"/>
  <c r="S40" i="6"/>
  <c r="R40" i="6"/>
  <c r="Q40" i="6"/>
  <c r="X39" i="6"/>
  <c r="W39" i="6"/>
  <c r="V39" i="6"/>
  <c r="S39" i="6"/>
  <c r="R39" i="6"/>
  <c r="Q39" i="6"/>
  <c r="X38" i="6"/>
  <c r="W38" i="6"/>
  <c r="V38" i="6"/>
  <c r="S38" i="6"/>
  <c r="R38" i="6"/>
  <c r="Q38" i="6"/>
  <c r="X37" i="6"/>
  <c r="W37" i="6"/>
  <c r="V37" i="6"/>
  <c r="S37" i="6"/>
  <c r="R37" i="6"/>
  <c r="Q37" i="6"/>
  <c r="X36" i="6"/>
  <c r="W36" i="6"/>
  <c r="V36" i="6"/>
  <c r="S36" i="6"/>
  <c r="R36" i="6"/>
  <c r="Q36" i="6"/>
  <c r="X35" i="6"/>
  <c r="W35" i="6"/>
  <c r="V35" i="6"/>
  <c r="S35" i="6"/>
  <c r="R35" i="6"/>
  <c r="Q35" i="6"/>
  <c r="X34" i="6"/>
  <c r="W34" i="6"/>
  <c r="V34" i="6"/>
  <c r="S34" i="6"/>
  <c r="R34" i="6"/>
  <c r="Q34" i="6"/>
  <c r="X33" i="6"/>
  <c r="W33" i="6"/>
  <c r="V33" i="6"/>
  <c r="S33" i="6"/>
  <c r="R33" i="6"/>
  <c r="Q33" i="6"/>
  <c r="P64" i="4"/>
  <c r="O64" i="4"/>
  <c r="N64" i="4"/>
  <c r="P63" i="4"/>
  <c r="O63" i="4"/>
  <c r="N63" i="4"/>
  <c r="P62" i="4"/>
  <c r="O62" i="4"/>
  <c r="N62" i="4"/>
  <c r="P61" i="4"/>
  <c r="O61" i="4"/>
  <c r="N61" i="4"/>
  <c r="P60" i="4"/>
  <c r="O60" i="4"/>
  <c r="N60" i="4"/>
  <c r="P59" i="4"/>
  <c r="O59" i="4"/>
  <c r="N59" i="4"/>
  <c r="P58" i="4"/>
  <c r="O58" i="4"/>
  <c r="N58" i="4"/>
  <c r="P57" i="4"/>
  <c r="O57" i="4"/>
  <c r="N57" i="4"/>
  <c r="O16" i="1"/>
  <c r="N65" i="1"/>
  <c r="N64" i="1"/>
  <c r="N63" i="1"/>
  <c r="N62" i="1"/>
  <c r="N61" i="1"/>
  <c r="N60" i="1"/>
  <c r="O59" i="1"/>
  <c r="N59" i="1"/>
  <c r="P58" i="1"/>
  <c r="O58" i="1"/>
  <c r="N58" i="1"/>
  <c r="T54" i="1"/>
  <c r="S54" i="1"/>
  <c r="R54" i="1"/>
  <c r="T53" i="1"/>
  <c r="S53" i="1"/>
  <c r="R53" i="1"/>
  <c r="T52" i="1"/>
  <c r="S52" i="1"/>
  <c r="R52" i="1"/>
  <c r="T51" i="1"/>
  <c r="S51" i="1"/>
  <c r="R51" i="1"/>
  <c r="T50" i="1"/>
  <c r="S50" i="1"/>
  <c r="R50" i="1"/>
  <c r="T49" i="1"/>
  <c r="S49" i="1"/>
  <c r="R49" i="1"/>
  <c r="T48" i="1"/>
  <c r="S48" i="1"/>
  <c r="R48" i="1"/>
  <c r="T47" i="1"/>
  <c r="S47" i="1"/>
  <c r="R47" i="1"/>
  <c r="T46" i="1"/>
  <c r="S46" i="1"/>
  <c r="R46" i="1"/>
  <c r="R33" i="1"/>
  <c r="S33" i="1"/>
  <c r="T33" i="1"/>
  <c r="R34" i="1"/>
  <c r="S34" i="1"/>
  <c r="T34" i="1"/>
  <c r="R35" i="1"/>
  <c r="S35" i="1"/>
  <c r="T35" i="1"/>
  <c r="R36" i="1"/>
  <c r="S36" i="1"/>
  <c r="T36" i="1"/>
  <c r="R37" i="1"/>
  <c r="S37" i="1"/>
  <c r="T37" i="1"/>
  <c r="R38" i="1"/>
  <c r="S38" i="1"/>
  <c r="T38" i="1"/>
  <c r="R39" i="1"/>
  <c r="S39" i="1"/>
  <c r="T39" i="1"/>
  <c r="R40" i="1"/>
  <c r="S40" i="1"/>
  <c r="T40" i="1"/>
  <c r="R41" i="1"/>
  <c r="S41" i="1"/>
  <c r="T41" i="1"/>
  <c r="R42" i="1"/>
  <c r="S42" i="1"/>
  <c r="T42" i="1"/>
  <c r="T32" i="1"/>
  <c r="S32" i="1"/>
  <c r="R32" i="1"/>
  <c r="O64" i="1"/>
  <c r="P64" i="1"/>
  <c r="O62" i="1"/>
  <c r="O63" i="1"/>
  <c r="P63" i="1"/>
  <c r="P62" i="1"/>
  <c r="P59" i="1"/>
  <c r="O60" i="1"/>
  <c r="P60" i="1"/>
  <c r="O61" i="1"/>
  <c r="P61" i="1"/>
  <c r="O65" i="1"/>
  <c r="P65" i="1"/>
  <c r="T34" i="6"/>
  <c r="T47" i="7"/>
  <c r="O61" i="7"/>
  <c r="Y47" i="7"/>
  <c r="N69" i="11"/>
  <c r="N46" i="6"/>
  <c r="U48" i="13"/>
  <c r="AA48" i="13"/>
  <c r="P70" i="11"/>
  <c r="W52" i="11"/>
  <c r="N71" i="11"/>
  <c r="T51" i="13"/>
  <c r="Z51" i="13"/>
  <c r="U48" i="11"/>
  <c r="Y48" i="13"/>
  <c r="S48" i="13"/>
  <c r="P69" i="11"/>
  <c r="T48" i="13"/>
  <c r="Z48" i="13"/>
  <c r="L36" i="13"/>
  <c r="X35" i="13"/>
  <c r="R35" i="13"/>
  <c r="X39" i="13"/>
  <c r="R39" i="13"/>
  <c r="L45" i="13"/>
  <c r="X48" i="13"/>
  <c r="R48" i="13"/>
  <c r="S35" i="13"/>
  <c r="S39" i="13"/>
  <c r="T44" i="13"/>
  <c r="Z44" i="13"/>
  <c r="R33" i="13"/>
  <c r="X33" i="13"/>
  <c r="X38" i="13"/>
  <c r="R38" i="13"/>
  <c r="R44" i="13"/>
  <c r="X44" i="13"/>
  <c r="S33" i="13"/>
  <c r="S38" i="13"/>
  <c r="S44" i="13"/>
  <c r="Y44" i="13"/>
  <c r="M57" i="13"/>
  <c r="M67" i="13"/>
  <c r="M36" i="13"/>
  <c r="Y36" i="13"/>
  <c r="L57" i="13"/>
  <c r="L67" i="13"/>
  <c r="N53" i="13"/>
  <c r="P67" i="11"/>
  <c r="M67" i="11"/>
  <c r="L67" i="11"/>
  <c r="L70" i="11"/>
  <c r="L69" i="11"/>
  <c r="M71" i="11"/>
  <c r="P71" i="11"/>
  <c r="N67" i="11"/>
  <c r="U38" i="11"/>
  <c r="L62" i="13"/>
  <c r="L51" i="13"/>
  <c r="L60" i="13"/>
  <c r="L61" i="6"/>
  <c r="V46" i="6"/>
  <c r="Q46" i="6"/>
  <c r="O63" i="6"/>
  <c r="O64" i="6"/>
  <c r="M45" i="13"/>
  <c r="N67" i="13"/>
  <c r="T53" i="6"/>
  <c r="Q50" i="6"/>
  <c r="T50" i="6"/>
  <c r="O46" i="6"/>
  <c r="M70" i="11"/>
  <c r="O53" i="13"/>
  <c r="M69" i="11"/>
  <c r="S46" i="6"/>
  <c r="L63" i="6"/>
  <c r="V50" i="6"/>
  <c r="M63" i="6"/>
  <c r="W46" i="6"/>
  <c r="N63" i="6"/>
  <c r="X46" i="6"/>
  <c r="N61" i="6"/>
  <c r="Y45" i="13"/>
  <c r="S45" i="13"/>
  <c r="Z53" i="13"/>
  <c r="N59" i="13"/>
  <c r="T53" i="13"/>
  <c r="N58" i="13"/>
  <c r="U53" i="13"/>
  <c r="AA53" i="13"/>
  <c r="O59" i="13"/>
  <c r="O58" i="13"/>
  <c r="X51" i="13"/>
  <c r="R51" i="13"/>
  <c r="S36" i="13"/>
  <c r="R45" i="13"/>
  <c r="X45" i="13"/>
  <c r="X36" i="13"/>
  <c r="R36" i="13"/>
  <c r="M62" i="13"/>
  <c r="M60" i="13"/>
  <c r="M51" i="13"/>
  <c r="Y46" i="6"/>
  <c r="O61" i="6"/>
  <c r="T46" i="6"/>
  <c r="L53" i="13"/>
  <c r="Y51" i="13"/>
  <c r="S51" i="13"/>
  <c r="X53" i="13"/>
  <c r="R53" i="13"/>
  <c r="M53" i="13"/>
  <c r="L59" i="13"/>
  <c r="L58" i="13"/>
  <c r="S53" i="13"/>
  <c r="Y53" i="13"/>
  <c r="M58" i="13"/>
  <c r="M59" i="13"/>
  <c r="AF35" i="14" l="1"/>
  <c r="M68" i="14"/>
  <c r="Z40" i="14"/>
  <c r="X32" i="14"/>
  <c r="X34" i="14"/>
  <c r="T36" i="14"/>
  <c r="AD37" i="14"/>
  <c r="Z38" i="14"/>
  <c r="V40" i="14"/>
  <c r="Z41" i="14"/>
  <c r="X42" i="14"/>
  <c r="T49" i="14"/>
  <c r="AG49" i="14"/>
  <c r="X50" i="14"/>
  <c r="V54" i="14"/>
  <c r="T55" i="14"/>
  <c r="AG55" i="14"/>
  <c r="AE56" i="14"/>
  <c r="AB50" i="14"/>
  <c r="Y36" i="14"/>
  <c r="AB40" i="14"/>
  <c r="Y32" i="14"/>
  <c r="Y34" i="14"/>
  <c r="AD35" i="14"/>
  <c r="U36" i="14"/>
  <c r="AB38" i="14"/>
  <c r="AF39" i="14"/>
  <c r="W40" i="14"/>
  <c r="AB41" i="14"/>
  <c r="Y42" i="14"/>
  <c r="L48" i="14"/>
  <c r="U49" i="14"/>
  <c r="AH49" i="14"/>
  <c r="Y50" i="14"/>
  <c r="Y53" i="14"/>
  <c r="W54" i="14"/>
  <c r="U55" i="14"/>
  <c r="AH55" i="14"/>
  <c r="AF56" i="14"/>
  <c r="AF33" i="14"/>
  <c r="X39" i="14"/>
  <c r="AC40" i="14"/>
  <c r="AA44" i="13"/>
  <c r="AF32" i="14"/>
  <c r="AF34" i="14"/>
  <c r="X37" i="14"/>
  <c r="Y39" i="14"/>
  <c r="AF42" i="14"/>
  <c r="U52" i="14"/>
  <c r="AH52" i="14"/>
  <c r="AF53" i="14"/>
  <c r="Y56" i="14"/>
  <c r="AE51" i="14"/>
  <c r="Y40" i="14"/>
  <c r="AF51" i="14"/>
  <c r="AD48" i="14"/>
  <c r="AC50" i="14"/>
  <c r="T51" i="14"/>
  <c r="AG51" i="14"/>
  <c r="AE52" i="14"/>
  <c r="P48" i="14"/>
  <c r="AE48" i="14"/>
  <c r="AD50" i="14"/>
  <c r="U51" i="14"/>
  <c r="AH51" i="14"/>
  <c r="AF52" i="14"/>
  <c r="AH33" i="14"/>
  <c r="Q48" i="14"/>
  <c r="AE50" i="14"/>
  <c r="V51" i="14"/>
  <c r="T52" i="14"/>
  <c r="AG52" i="14"/>
  <c r="AE53" i="14"/>
  <c r="Y37" i="14"/>
  <c r="Z39" i="14"/>
  <c r="U48" i="14"/>
  <c r="AH48" i="14"/>
  <c r="V52" i="14"/>
  <c r="T53" i="14"/>
  <c r="AG53" i="14"/>
  <c r="AE54" i="14"/>
  <c r="AC48" i="14"/>
  <c r="AG35" i="14"/>
  <c r="AG33" i="14"/>
  <c r="Z37" i="14"/>
  <c r="AB39" i="14"/>
  <c r="V48" i="14"/>
  <c r="AH50" i="14"/>
  <c r="U53" i="14"/>
  <c r="AH53" i="14"/>
  <c r="AF54" i="14"/>
  <c r="M63" i="14"/>
  <c r="U37" i="14"/>
  <c r="Z35" i="14"/>
  <c r="AB37" i="14"/>
  <c r="X38" i="14"/>
  <c r="X41" i="14"/>
  <c r="W48" i="14"/>
  <c r="N63" i="14"/>
  <c r="U44" i="13"/>
  <c r="AF49" i="14"/>
  <c r="O63" i="14"/>
  <c r="AG48" i="14" l="1"/>
  <c r="Q65" i="14"/>
  <c r="Q63" i="14"/>
  <c r="Y48" i="14"/>
  <c r="AB48" i="14"/>
  <c r="T48" i="14"/>
  <c r="X48" i="14"/>
  <c r="AF48" i="14"/>
  <c r="P65" i="14"/>
  <c r="P63" i="14"/>
</calcChain>
</file>

<file path=xl/sharedStrings.xml><?xml version="1.0" encoding="utf-8"?>
<sst xmlns="http://schemas.openxmlformats.org/spreadsheetml/2006/main" count="733" uniqueCount="287">
  <si>
    <t xml:space="preserve">Date of announcement: </t>
  </si>
  <si>
    <t>Acquirer:</t>
  </si>
  <si>
    <t>Acquiree / target company:</t>
  </si>
  <si>
    <t>DSK Bank (Bulgaria)</t>
  </si>
  <si>
    <t>Acquired stake:</t>
  </si>
  <si>
    <t>Other indicators</t>
  </si>
  <si>
    <t>Employees</t>
  </si>
  <si>
    <t>Branches</t>
  </si>
  <si>
    <t>Profit or Loss statement</t>
  </si>
  <si>
    <t>Performance indicators</t>
  </si>
  <si>
    <t>ROE</t>
  </si>
  <si>
    <t>ROA</t>
  </si>
  <si>
    <t>Total assets</t>
  </si>
  <si>
    <t>Financial assets</t>
  </si>
  <si>
    <t>Net loans</t>
  </si>
  <si>
    <t>Retail</t>
  </si>
  <si>
    <t>Corporate</t>
  </si>
  <si>
    <t>Customer deposits</t>
  </si>
  <si>
    <t>Shareholders' equity</t>
  </si>
  <si>
    <t>Total income</t>
  </si>
  <si>
    <t>Net interest income</t>
  </si>
  <si>
    <t>Net fees and commissions</t>
  </si>
  <si>
    <t>Other income</t>
  </si>
  <si>
    <t>Operating costs</t>
  </si>
  <si>
    <t>Risk costs</t>
  </si>
  <si>
    <t>Profit before tax</t>
  </si>
  <si>
    <t>Corporate tax</t>
  </si>
  <si>
    <t>Profit after tax</t>
  </si>
  <si>
    <t>Leasing</t>
  </si>
  <si>
    <t>Factoring</t>
  </si>
  <si>
    <t>Bank</t>
  </si>
  <si>
    <t>First Investment Bank</t>
  </si>
  <si>
    <t>Central Cooperative Bank</t>
  </si>
  <si>
    <t>United Bulgarian Bank</t>
  </si>
  <si>
    <t>Societe Generale Albania</t>
  </si>
  <si>
    <t>Alpha Bank Albania</t>
  </si>
  <si>
    <t>Tirana Bank</t>
  </si>
  <si>
    <t>EUR/LEK eop</t>
  </si>
  <si>
    <t>EUR/BGN eop</t>
  </si>
  <si>
    <t>http://www.sgeb.bg/en/about-us/key-figures.html</t>
  </si>
  <si>
    <t>http://www.bnb.bg/BankSupervision/BSCreditInstitution/BSCIFinansReports/BSCIFRForeignBanks/BS_Q_201803_EN</t>
  </si>
  <si>
    <t>EUR/BGN aop</t>
  </si>
  <si>
    <t>Clients (in thousands)</t>
  </si>
  <si>
    <t>Number of cards (in thousands)</t>
  </si>
  <si>
    <t>Source: Bulgarian National Bank</t>
  </si>
  <si>
    <t>Market share</t>
  </si>
  <si>
    <t>in BGN million</t>
  </si>
  <si>
    <t>in EUR million</t>
  </si>
  <si>
    <t>#</t>
  </si>
  <si>
    <t>Total revenue margin</t>
  </si>
  <si>
    <t>Net interest margin</t>
  </si>
  <si>
    <t>Cost to Income</t>
  </si>
  <si>
    <t>Cost to Assets</t>
  </si>
  <si>
    <t>Risk cost rate (on average total assets)</t>
  </si>
  <si>
    <t>Net loan to deposit ratio</t>
  </si>
  <si>
    <r>
      <t xml:space="preserve">Factsheet - acquisition of </t>
    </r>
    <r>
      <rPr>
        <b/>
        <sz val="14"/>
        <color rgb="FFC00000"/>
        <rFont val="Calibri"/>
        <family val="2"/>
        <charset val="238"/>
        <scheme val="minor"/>
      </rPr>
      <t>Banka</t>
    </r>
    <r>
      <rPr>
        <b/>
        <sz val="14"/>
        <color theme="1"/>
        <rFont val="Calibri"/>
        <family val="2"/>
        <charset val="238"/>
        <scheme val="minor"/>
      </rPr>
      <t xml:space="preserve"> </t>
    </r>
    <r>
      <rPr>
        <b/>
        <sz val="14"/>
        <color rgb="FFC00000"/>
        <rFont val="Calibri"/>
        <family val="2"/>
        <charset val="238"/>
        <scheme val="minor"/>
      </rPr>
      <t>Societe Generale Albania</t>
    </r>
  </si>
  <si>
    <t>OTP Bank (Hungary)</t>
  </si>
  <si>
    <t>Banka Societe Generale Albania</t>
  </si>
  <si>
    <t>DSK Bank</t>
  </si>
  <si>
    <t>UniCredit Bulbank</t>
  </si>
  <si>
    <t>Eurobank Bulgaria</t>
  </si>
  <si>
    <t>Raiffeisenbank (Bulgaria)</t>
  </si>
  <si>
    <t>Societe Generale Expressbank</t>
  </si>
  <si>
    <t>DSK Bank + SG Expressbank (pro forma)</t>
  </si>
  <si>
    <t>Consolidated entities: SG Expressbank, Sogelease Bulgaria EOOD, Societe Generale Factoring EOOD and Regional Urban Development Fund AD</t>
  </si>
  <si>
    <t>Source: SG Expressbank website, financial reports</t>
  </si>
  <si>
    <r>
      <t xml:space="preserve">Factsheet - acquisition of </t>
    </r>
    <r>
      <rPr>
        <b/>
        <sz val="14"/>
        <color rgb="FFC00000"/>
        <rFont val="Calibri"/>
        <family val="2"/>
        <charset val="238"/>
        <scheme val="minor"/>
      </rPr>
      <t>Societe Generale Expressbank</t>
    </r>
    <r>
      <rPr>
        <b/>
        <sz val="14"/>
        <color theme="1"/>
        <rFont val="Calibri"/>
        <family val="2"/>
        <charset val="238"/>
        <scheme val="minor"/>
      </rPr>
      <t xml:space="preserve"> in Bulgaria</t>
    </r>
  </si>
  <si>
    <t>in LEK million</t>
  </si>
  <si>
    <t>EUR/LEK aop</t>
  </si>
  <si>
    <t>Accrued interest</t>
  </si>
  <si>
    <t>Banka Societe Generale Albania - key financials and performance measures (IFRS)</t>
  </si>
  <si>
    <t>n/a</t>
  </si>
  <si>
    <t>Source: Albanian Association of Banks</t>
  </si>
  <si>
    <t>https://aab.al/en/rreth-nesh/statistika/te-dhena/</t>
  </si>
  <si>
    <t>National Commercial Bank (Banka Kombëtare Tregtare)</t>
  </si>
  <si>
    <t>Raiffeisen Bank Albania</t>
  </si>
  <si>
    <t>Credins Bank</t>
  </si>
  <si>
    <t>Union Bank</t>
  </si>
  <si>
    <t>Intesa Sanpaolo Bank Albania</t>
  </si>
  <si>
    <t>https://www.societegenerale.al/en/publications/</t>
  </si>
  <si>
    <t>SG Expressbank and other subsidiaries - key financials and performance measures (IFRS)</t>
  </si>
  <si>
    <t>Balance sheet</t>
  </si>
  <si>
    <t>Note: EUR figures are calculated from LCY figures using average EUR/LCY rate in case of P&amp;L lines and closing rates in case of balance sheet items.</t>
  </si>
  <si>
    <t>Performance indicators are calculated from LCY figures using average equity in the denominator in case of ROE and total assets in case of other indicators.</t>
  </si>
  <si>
    <t>Purchase price:</t>
  </si>
  <si>
    <t>2 August 2018</t>
  </si>
  <si>
    <t>Source: Banka SG Albania website</t>
  </si>
  <si>
    <t>Not disclosed</t>
  </si>
  <si>
    <t>Link to the announcement:</t>
  </si>
  <si>
    <t>https://www.otpbank.hu/portal/en/IR/Announcements/2018</t>
  </si>
  <si>
    <t>Societe Generale Expessbank (and other Bulgarian subsidiaries)</t>
  </si>
  <si>
    <r>
      <t xml:space="preserve">Factsheet - acquisition of </t>
    </r>
    <r>
      <rPr>
        <b/>
        <sz val="14"/>
        <color rgb="FFC00000"/>
        <rFont val="Calibri"/>
        <family val="2"/>
        <charset val="238"/>
        <scheme val="minor"/>
      </rPr>
      <t>Societe Generale banka Srbija</t>
    </r>
    <r>
      <rPr>
        <b/>
        <sz val="14"/>
        <color theme="1"/>
        <rFont val="Calibri"/>
        <family val="2"/>
        <charset val="238"/>
        <scheme val="minor"/>
      </rPr>
      <t xml:space="preserve"> in Serbia</t>
    </r>
  </si>
  <si>
    <t>20 December 2018</t>
  </si>
  <si>
    <t>OTP Bank Plc.</t>
  </si>
  <si>
    <t>Source: National Bank of Serbia</t>
  </si>
  <si>
    <t>https://www.nbs.rs/internet/english/50/50_5.html</t>
  </si>
  <si>
    <t>SG Srbija + OTP banka Srbija + Vojvođanska banka (pro forma)</t>
  </si>
  <si>
    <t>SG banka Srbija and other subsidiaries - key financials and performance measures (IFRS)</t>
  </si>
  <si>
    <t>Consolidated entities: SG banka Srbija, Sogelease Srbija d.o.o., Societe Generale Osiguranje a.d.</t>
  </si>
  <si>
    <t>Source: SG banka Srbija website, financial reports</t>
  </si>
  <si>
    <t>https://www.societegenerale.rs/en/about-us/annual-reports/</t>
  </si>
  <si>
    <t>in RSD million</t>
  </si>
  <si>
    <t>in HUF billion</t>
  </si>
  <si>
    <t>EUR/RSD eop</t>
  </si>
  <si>
    <t>RSD/HUF eop</t>
  </si>
  <si>
    <t>EUR/RSD aop</t>
  </si>
  <si>
    <t>RSD/HUF aop</t>
  </si>
  <si>
    <t>Note: EUR and HUF figures are calculated from LCY figures using average EUR/LCY or HUF/LCY rates in case of P&amp;L lines and closing rates in case of balance sheet items.</t>
  </si>
  <si>
    <t>Societe Generale banka Srbija A.D. (and its local subsidiaries)</t>
  </si>
  <si>
    <r>
      <t xml:space="preserve">Factsheet - acquisition of </t>
    </r>
    <r>
      <rPr>
        <b/>
        <sz val="14"/>
        <color rgb="FFC00000"/>
        <rFont val="Calibri"/>
        <family val="2"/>
        <charset val="238"/>
        <scheme val="minor"/>
      </rPr>
      <t>Mobiasbanca</t>
    </r>
    <r>
      <rPr>
        <b/>
        <sz val="14"/>
        <color theme="1"/>
        <rFont val="Calibri"/>
        <family val="2"/>
        <charset val="238"/>
        <scheme val="minor"/>
      </rPr>
      <t xml:space="preserve"> in Moldova</t>
    </r>
  </si>
  <si>
    <t>6 February 2019</t>
  </si>
  <si>
    <t>https://www.otpbank.hu/static/portal/sw/file/190206_moldova_015_e.pdf</t>
  </si>
  <si>
    <t>BC “Mobiasbanca – Groupe Société Générale” S.A.</t>
  </si>
  <si>
    <t>Source: National Bank of Moldova</t>
  </si>
  <si>
    <t>https://www.bnm.md/bdi/pages/reports/drsb/DRSB5.xhtml</t>
  </si>
  <si>
    <t>BC „MOLDOVA - AGROINDBANK” S.A.</t>
  </si>
  <si>
    <t>BC „Moldindconbank” S.A.</t>
  </si>
  <si>
    <t>B.C. „VICTORIABANK” S.A.</t>
  </si>
  <si>
    <t>BC „MOBIASBANCA - Groupe Societe Generale” S.A.</t>
  </si>
  <si>
    <t>B.C. „EXIMBANK” S.A.</t>
  </si>
  <si>
    <t>BCR Chisinau S.A.</t>
  </si>
  <si>
    <t>„FinComBank” S.A.</t>
  </si>
  <si>
    <t>B.C. „ENERGBANK” S.A.</t>
  </si>
  <si>
    <t>Mobiasbanca - key financials and performance measures (IFRS)</t>
  </si>
  <si>
    <t>Source: Mobiasbanca website, financial reports</t>
  </si>
  <si>
    <t>https://mobiasbanca.md/en/annual_reports</t>
  </si>
  <si>
    <t>in MDL million</t>
  </si>
  <si>
    <t>EUR/MDL eop</t>
  </si>
  <si>
    <t>HUF/MDL eop</t>
  </si>
  <si>
    <t>EUR/MDL aop</t>
  </si>
  <si>
    <t>HUF/MDL aop</t>
  </si>
  <si>
    <r>
      <t xml:space="preserve">Factsheet - acquisition of </t>
    </r>
    <r>
      <rPr>
        <b/>
        <sz val="14"/>
        <color rgb="FFC00000"/>
        <rFont val="Calibri"/>
        <family val="2"/>
        <charset val="238"/>
        <scheme val="minor"/>
      </rPr>
      <t>Societe Generale banka Montenegro</t>
    </r>
  </si>
  <si>
    <t>28 February 2019</t>
  </si>
  <si>
    <t>https://www.otpbank.hu/static/portal/sw/file/190228_montenegro_021_e.pdf</t>
  </si>
  <si>
    <t>Crnogorska Komercijalna Banka a.d.</t>
  </si>
  <si>
    <t>Societe Generale Banka Montenegro a.d.</t>
  </si>
  <si>
    <t>Source: Central Bank of Montenegro</t>
  </si>
  <si>
    <t>CKB + SG BANKA MONTENEGRO (pro forma)</t>
  </si>
  <si>
    <t>HIPOTEKARNA BANKA AD</t>
  </si>
  <si>
    <t>ERSTE BANK AD PODGORICA</t>
  </si>
  <si>
    <t>SOCIETE GENERALE BANKA MONTENEGRO AD</t>
  </si>
  <si>
    <t>NLB BANKA A.D. PODGORICA</t>
  </si>
  <si>
    <t>PRVA BANKA CG AD PODGORICA OSNOVANA 1901.GODINE</t>
  </si>
  <si>
    <t>UNIVERSAL CAPITAL BANK AD PODGORICA</t>
  </si>
  <si>
    <t>SG banka Montenegro - key financials and performance measures (IFRS)</t>
  </si>
  <si>
    <t>Source: SG banka Montenegro website, financial reports</t>
  </si>
  <si>
    <t>http://societegenerale.me/en/about-us/financial-reports</t>
  </si>
  <si>
    <t>EUR/HUF eop</t>
  </si>
  <si>
    <t>EUR/HUF aop</t>
  </si>
  <si>
    <t>Note: HUF figures are calculated from EUR figures using average EUR/HUF rate in case of P&amp;L lines and closing rates in case of balance sheet items.</t>
  </si>
  <si>
    <t>https://www.cbcg.me/en/core-functions/supervision/balance-sheets-and-profit-and-loss-statements-of-banks</t>
  </si>
  <si>
    <r>
      <t xml:space="preserve">Factsheet - acquisition of </t>
    </r>
    <r>
      <rPr>
        <b/>
        <sz val="14"/>
        <color rgb="FFC00000"/>
        <rFont val="Calibri"/>
        <family val="2"/>
        <charset val="238"/>
        <scheme val="minor"/>
      </rPr>
      <t>SKB Banka in Slovenia</t>
    </r>
  </si>
  <si>
    <t>3 May 2019</t>
  </si>
  <si>
    <t>Seller:</t>
  </si>
  <si>
    <t>Societe Generage Group</t>
  </si>
  <si>
    <t>SKB Banka (and other local subsidiaries)</t>
  </si>
  <si>
    <t>99.73%</t>
  </si>
  <si>
    <t>Market share of SKB Banka, 31 December 2018, in EUR million</t>
  </si>
  <si>
    <t>Note: total assets of individual banks are not available on the central bank's website.</t>
  </si>
  <si>
    <t>Source: Bank of Slovenia, SKB Banka annual report.</t>
  </si>
  <si>
    <t>https://apl.bsi.si/pxweb/Dialog/varval.asp?ma=FSM_BIUE&amp;ti=1%2E1%2E+The+balance+sheet+of+banks&amp;path=Database/ang/serije/02_bilance_bank/&amp;lang=1</t>
  </si>
  <si>
    <t>Total assets of banks</t>
  </si>
  <si>
    <t>SKB Banka</t>
  </si>
  <si>
    <t>SG Group Slovenia - key financials and performance indicators (IFRS consolidated)</t>
  </si>
  <si>
    <t>(SKB Banka, SKB Leasing, SKB Leasing Select)</t>
  </si>
  <si>
    <t>Source: SKB Banka website, annual reports</t>
  </si>
  <si>
    <t>https://www.skb.si/sl/o-skb/medijsko-sredisce#tab2</t>
  </si>
  <si>
    <t>https://bse.hu/newkibdata/128218471/190503_SKB_055_e.pdf</t>
  </si>
  <si>
    <t>CRNOGORSKA KOMERCIJALNA BANKA AD</t>
  </si>
  <si>
    <t>ADDIKO BANK AD</t>
  </si>
  <si>
    <t>Bank rankings, 31 March 2019, in EUR million</t>
  </si>
  <si>
    <t xml:space="preserve">Bank rankings, 31 March 2019, in MDL million </t>
  </si>
  <si>
    <t>Banca Intesa A.D.- Beograd</t>
  </si>
  <si>
    <t>Unicredit Bank Srbija A.D.- Beograd</t>
  </si>
  <si>
    <t>Komercijalna banka A.D.- Beograd</t>
  </si>
  <si>
    <t>Societe Generale banka Srbija A.D.- Beograd</t>
  </si>
  <si>
    <t>Raiffeisen Banka A.D.- Beograd</t>
  </si>
  <si>
    <t>OTP banka Srbija + Vojvođanska banka (pro forma)</t>
  </si>
  <si>
    <t>Erste Bank A.D.- Novi Sad</t>
  </si>
  <si>
    <t>Eurobank A.D.- Beograd</t>
  </si>
  <si>
    <t xml:space="preserve">Bank rankings, 30 September 2018, in RSD million </t>
  </si>
  <si>
    <t xml:space="preserve">Bank rankings, 31 March 2019, in BGN million </t>
  </si>
  <si>
    <t>Bank rankings, 31 December 2018, in LEK billion</t>
  </si>
  <si>
    <t>Agroindustrijska komercijalna banka AIK banka akcionarsko društvo</t>
  </si>
  <si>
    <t>29 March 2019</t>
  </si>
  <si>
    <t>Closing of the transaction:</t>
  </si>
  <si>
    <t>15 January 2019</t>
  </si>
  <si>
    <t>24 September 2019</t>
  </si>
  <si>
    <t>25 July 2019</t>
  </si>
  <si>
    <t>16 July 2019</t>
  </si>
  <si>
    <t>13 December 2019</t>
  </si>
  <si>
    <r>
      <t xml:space="preserve">Factsheet - acquisition of </t>
    </r>
    <r>
      <rPr>
        <b/>
        <sz val="14"/>
        <color rgb="FFC00000"/>
        <rFont val="Calibri"/>
        <family val="2"/>
        <charset val="238"/>
        <scheme val="minor"/>
      </rPr>
      <t>Nova KBM</t>
    </r>
    <r>
      <rPr>
        <b/>
        <sz val="14"/>
        <color theme="1"/>
        <rFont val="Calibri"/>
        <family val="2"/>
        <charset val="238"/>
        <scheme val="minor"/>
      </rPr>
      <t xml:space="preserve"> in Slovenia</t>
    </r>
  </si>
  <si>
    <t>31 May 2021</t>
  </si>
  <si>
    <t>Nova Kreditna banka Maribor d.d. and its subsidiaries</t>
  </si>
  <si>
    <t>not disclosed</t>
  </si>
  <si>
    <t>Nova KBM + SKB Banka (pro forma)</t>
  </si>
  <si>
    <t>NOVA LJUBLJANSKA BANKA D.D., LJUBLJANA</t>
  </si>
  <si>
    <t>NOVA KREDITNA BANKA MARIBOR D.D.</t>
  </si>
  <si>
    <t>SKB BANKA D.D. LJUBLJANA</t>
  </si>
  <si>
    <t>UNICREDIT BANKA SLOVENIJA d.d.</t>
  </si>
  <si>
    <t>Banka Intesa Sanpaolo d.d.</t>
  </si>
  <si>
    <t>Gorenjska banka</t>
  </si>
  <si>
    <t>Sberbank</t>
  </si>
  <si>
    <t>Nova KBM Group - key financials and performance measures (IFRS)</t>
  </si>
  <si>
    <t>https://www.nkbm.si/financial-reports-and-documents</t>
  </si>
  <si>
    <t>Gross loans</t>
  </si>
  <si>
    <t>Corporate (incl. leasing)</t>
  </si>
  <si>
    <t>Provision for expected credit losses</t>
  </si>
  <si>
    <t>Reported</t>
  </si>
  <si>
    <r>
      <t>Adjusted</t>
    </r>
    <r>
      <rPr>
        <b/>
        <vertAlign val="superscript"/>
        <sz val="8"/>
        <color theme="1"/>
        <rFont val="Calibri"/>
        <family val="2"/>
        <charset val="238"/>
        <scheme val="minor"/>
      </rPr>
      <t>1</t>
    </r>
  </si>
  <si>
    <t>Impairments and provisions, total</t>
  </si>
  <si>
    <t>Impairments of loans and other fin. assets</t>
  </si>
  <si>
    <t>Other provisions and impairments</t>
  </si>
  <si>
    <t>Gain on a bargain purchase</t>
  </si>
  <si>
    <t>Result of discontinued operations</t>
  </si>
  <si>
    <r>
      <t>Profit before tax</t>
    </r>
    <r>
      <rPr>
        <sz val="7"/>
        <color theme="1"/>
        <rFont val="Calibri"/>
        <family val="2"/>
        <charset val="238"/>
        <scheme val="minor"/>
      </rPr>
      <t xml:space="preserve"> (from continuing operations)</t>
    </r>
  </si>
  <si>
    <r>
      <t xml:space="preserve">Corporate tax </t>
    </r>
    <r>
      <rPr>
        <sz val="7"/>
        <color theme="1"/>
        <rFont val="Calibri"/>
        <family val="2"/>
        <charset val="238"/>
        <scheme val="minor"/>
      </rPr>
      <t>(related to continuing operations)</t>
    </r>
  </si>
  <si>
    <r>
      <t xml:space="preserve">Profit after tax </t>
    </r>
    <r>
      <rPr>
        <sz val="7"/>
        <color theme="1"/>
        <rFont val="Calibri"/>
        <family val="2"/>
        <charset val="238"/>
        <scheme val="minor"/>
      </rPr>
      <t>(from continuing operations)</t>
    </r>
  </si>
  <si>
    <t>Credit risk cost rate (on avegare gross loans)</t>
  </si>
  <si>
    <r>
      <rPr>
        <i/>
        <vertAlign val="superscript"/>
        <sz val="9"/>
        <color theme="1"/>
        <rFont val="Calibri"/>
        <family val="2"/>
        <charset val="238"/>
        <scheme val="minor"/>
      </rPr>
      <t>1</t>
    </r>
    <r>
      <rPr>
        <i/>
        <sz val="9"/>
        <color theme="1"/>
        <rFont val="Calibri"/>
        <family val="2"/>
        <charset val="238"/>
        <scheme val="minor"/>
      </rPr>
      <t xml:space="preserve"> Adjusted for publicly available one-off items: in 2020 EUR 205.9 million bargain purchase gain was booked relating to the Abanka acquisition (no tax shield effect). EUR 7.6 milion external legal fees and due diligence costs emerged in the wake of the acquisition, and further EUR 15.3 million restructuring costs occurred (19% corporate tax shield was applied to both). Other integration costs were not filtered out due to lack of publicly available data, therefore the presented adjusted column underestimates the underlying 2020 performance. Also, cost synergies after the merger were only partially realized in 2020.</t>
    </r>
  </si>
  <si>
    <t>General notes: HUF figures are calculated from EUR figures using average EUR/HUF rates in case of P&amp;L lines and closing rates in case of balance sheet items.</t>
  </si>
  <si>
    <t>Performance indicators are calculated from LCY figures using average equity in the denominator in case of ROE and total assets or total gross loans in case of other indicators. Instead of averages, for 2020 indicators the end of 2020 numbers were used in order to avoid distortion arising from the inclusion of Abanka in January 2020.</t>
  </si>
  <si>
    <t>Source: Nova KBM bank website, financial reports</t>
  </si>
  <si>
    <t>Note: Nova KBM determined 31 Jan 2020 as the acquisition date of Abanka. Abanka's full-year 2020 results were consolidated into Nova KBM Group.</t>
  </si>
  <si>
    <t>RWA, Nova KBM Group, in EUR m</t>
  </si>
  <si>
    <r>
      <t xml:space="preserve">Factsheet - acquisition of </t>
    </r>
    <r>
      <rPr>
        <b/>
        <sz val="14"/>
        <color rgb="FFFF0000"/>
        <rFont val="Calibri"/>
        <family val="2"/>
        <charset val="238"/>
        <scheme val="minor"/>
      </rPr>
      <t>Alpha Bank</t>
    </r>
    <r>
      <rPr>
        <b/>
        <sz val="14"/>
        <color theme="1"/>
        <rFont val="Calibri"/>
        <family val="2"/>
        <charset val="238"/>
        <scheme val="minor"/>
      </rPr>
      <t xml:space="preserve"> in Albania</t>
    </r>
  </si>
  <si>
    <t>6 December 2021</t>
  </si>
  <si>
    <t>OTP Bank Plc. (Hungary)</t>
  </si>
  <si>
    <t>Alpha Bank (Albania)</t>
  </si>
  <si>
    <t>Banka Kombëtare Tregtare</t>
  </si>
  <si>
    <t>OTP Albania</t>
  </si>
  <si>
    <t>American Bank of Investments</t>
  </si>
  <si>
    <t>FIBank Albania</t>
  </si>
  <si>
    <t>Alpha Bank - key financials and performance measures (IFRS)</t>
  </si>
  <si>
    <t>Source: Alpha Bank website, financial reports</t>
  </si>
  <si>
    <t>HUF/LEK eop</t>
  </si>
  <si>
    <t>-</t>
  </si>
  <si>
    <t>HUF/LEK aop</t>
  </si>
  <si>
    <t>https://www.bet.hu/newkibdata/128569554/210531_szloven_068_e.pdf</t>
  </si>
  <si>
    <t>EUR 55 million</t>
  </si>
  <si>
    <t>18 July 2022</t>
  </si>
  <si>
    <t>Bank rankings, in LEK billion</t>
  </si>
  <si>
    <t>OTP Albania + Alpha Bank (pro forma)</t>
  </si>
  <si>
    <t>Total RWA, LEK mn</t>
  </si>
  <si>
    <t>Annual Reports - Alpha Bank</t>
  </si>
  <si>
    <t>Update:</t>
  </si>
  <si>
    <t>https://www.alphabank.al/eng/profile/financial-indicators/annual-reports</t>
  </si>
  <si>
    <t>2Q 2022</t>
  </si>
  <si>
    <r>
      <t xml:space="preserve">Factsheet - </t>
    </r>
    <r>
      <rPr>
        <b/>
        <sz val="14"/>
        <color rgb="FFC00000"/>
        <rFont val="Calibri"/>
        <family val="2"/>
        <charset val="238"/>
        <scheme val="minor"/>
      </rPr>
      <t>Ipoteka Bank</t>
    </r>
    <r>
      <rPr>
        <b/>
        <sz val="14"/>
        <color theme="1"/>
        <rFont val="Calibri"/>
        <family val="2"/>
        <charset val="238"/>
        <scheme val="minor"/>
      </rPr>
      <t xml:space="preserve"> in Uzbekistan</t>
    </r>
  </si>
  <si>
    <t>Date of signing the share purchase agreement:</t>
  </si>
  <si>
    <t>12 December 2022</t>
  </si>
  <si>
    <t>Target company:</t>
  </si>
  <si>
    <t>Ipoteka Bank</t>
  </si>
  <si>
    <t xml:space="preserve">nearly 97% held by the Ministry of Finance of the Republic of Uzbekistan </t>
  </si>
  <si>
    <t>1H 2023</t>
  </si>
  <si>
    <t xml:space="preserve">Bank rankings, 30 September 2022, in UZS billion </t>
  </si>
  <si>
    <t>Source: National Bank of Uzbekistan</t>
  </si>
  <si>
    <t>https://cbu.uz/en/statistics/bankstats/436623/</t>
  </si>
  <si>
    <t>NBU</t>
  </si>
  <si>
    <t>Uzpromstroybank</t>
  </si>
  <si>
    <t>Asaka Bank</t>
  </si>
  <si>
    <t>Agrobank</t>
  </si>
  <si>
    <t>People's Bank</t>
  </si>
  <si>
    <t>Kapital Bank</t>
  </si>
  <si>
    <t>Qishloq Qurilish Bank</t>
  </si>
  <si>
    <t>Hamkorbank</t>
  </si>
  <si>
    <t>Microcreditbank</t>
  </si>
  <si>
    <t>Ipoteka - key financials and performance measures (IFRS)</t>
  </si>
  <si>
    <t>Source: Ipoteka bank website, financial reports</t>
  </si>
  <si>
    <t>https://www.ipotekabank.uz/en/investors/shai_finain/</t>
  </si>
  <si>
    <t>in UZS billion</t>
  </si>
  <si>
    <t>1H 2022</t>
  </si>
  <si>
    <t>Retail (residential mortgage &amp; consumer)</t>
  </si>
  <si>
    <t>Corporate &amp; small business loans</t>
  </si>
  <si>
    <t>State and public organisations</t>
  </si>
  <si>
    <t>Other legal entities</t>
  </si>
  <si>
    <t>EUR/UZS eop</t>
  </si>
  <si>
    <t>HUF/UZS eop</t>
  </si>
  <si>
    <t>EUR/UZS aop</t>
  </si>
  <si>
    <t>HUF/UZS aop</t>
  </si>
  <si>
    <t>Expected closing of the first leg of the transaction:</t>
  </si>
  <si>
    <t>https://www.otpgroup.info/static/sw/file/221212_Ipoteka_170_e.pdf</t>
  </si>
  <si>
    <t>6 February 2023</t>
  </si>
  <si>
    <t xml:space="preserve">Bank rankings, 30 September 2022, in EUR million </t>
  </si>
  <si>
    <t>Source: The Bank of Slovenia website</t>
  </si>
  <si>
    <t>https://px.bsi.si/pxweb/en/serije_ang/serije_ang__10_denar_mfi__50_izbrani_pod_bilanc/?tablelist=true&amp;rxid=052997fa-067e-4e35-b81d-e64fab6a0dfd</t>
  </si>
  <si>
    <t>Note: the total asset figure for the sector includes all banks, savings banks and bank branches.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</si>
</sst>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809]dd\ mmmm\ yyyy;@"/>
    <numFmt numFmtId="167" formatCode="#,##0.000"/>
    <numFmt numFmtId="168" formatCode="0.0"/>
    <numFmt numFmtId="169" formatCode="[$-F800]dddd\,\ mmmm\ dd\,\ yyyy"/>
    <numFmt numFmtId="170" formatCode="_-* #,##0_-;\-* #,##0_-;_-* &quot;-&quot;??_-;_-@_-"/>
    <numFmt numFmtId="171" formatCode="0.000"/>
  </numFmts>
  <fonts count="32"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
      <b/>
      <sz val="11"/>
      <color rgb="FFC00000"/>
      <name val="Calibri"/>
      <family val="2"/>
      <charset val="238"/>
      <scheme val="minor"/>
    </font>
    <font>
      <u/>
      <sz val="11"/>
      <color theme="10"/>
      <name val="Calibri"/>
      <family val="2"/>
      <scheme val="minor"/>
    </font>
    <font>
      <u/>
      <sz val="9"/>
      <color theme="10"/>
      <name val="Calibri"/>
      <family val="2"/>
      <scheme val="minor"/>
    </font>
    <font>
      <sz val="11"/>
      <color theme="1"/>
      <name val="Calibri"/>
      <family val="2"/>
      <scheme val="minor"/>
    </font>
    <font>
      <sz val="9"/>
      <color theme="1"/>
      <name val="Calibri"/>
      <family val="2"/>
      <scheme val="minor"/>
    </font>
    <font>
      <b/>
      <sz val="11"/>
      <name val="Calibri"/>
      <family val="2"/>
      <charset val="238"/>
      <scheme val="minor"/>
    </font>
    <font>
      <sz val="9"/>
      <name val="Calibri"/>
      <family val="2"/>
      <scheme val="minor"/>
    </font>
    <font>
      <sz val="11"/>
      <name val="Calibri"/>
      <family val="2"/>
      <scheme val="minor"/>
    </font>
    <font>
      <u/>
      <sz val="7"/>
      <color theme="10"/>
      <name val="Calibri"/>
      <family val="2"/>
      <scheme val="minor"/>
    </font>
    <font>
      <sz val="10"/>
      <color theme="1"/>
      <name val="Calibri"/>
      <family val="2"/>
      <scheme val="minor"/>
    </font>
    <font>
      <b/>
      <sz val="14"/>
      <color theme="1"/>
      <name val="Calibri"/>
      <family val="2"/>
      <charset val="238"/>
      <scheme val="minor"/>
    </font>
    <font>
      <b/>
      <sz val="14"/>
      <color rgb="FFC00000"/>
      <name val="Calibri"/>
      <family val="2"/>
      <charset val="238"/>
      <scheme val="minor"/>
    </font>
    <font>
      <sz val="9.5"/>
      <color theme="1"/>
      <name val="Calibri"/>
      <family val="2"/>
      <scheme val="minor"/>
    </font>
    <font>
      <i/>
      <sz val="9"/>
      <color theme="1"/>
      <name val="Calibri"/>
      <family val="2"/>
      <charset val="238"/>
      <scheme val="minor"/>
    </font>
    <font>
      <sz val="10"/>
      <name val="Calibri"/>
      <family val="2"/>
      <scheme val="minor"/>
    </font>
    <font>
      <i/>
      <sz val="8"/>
      <color theme="1"/>
      <name val="Calibri"/>
      <family val="2"/>
      <charset val="238"/>
      <scheme val="minor"/>
    </font>
    <font>
      <u/>
      <sz val="8"/>
      <color theme="10"/>
      <name val="Calibri"/>
      <family val="2"/>
      <scheme val="minor"/>
    </font>
    <font>
      <sz val="11"/>
      <name val="Calibri"/>
      <family val="2"/>
      <charset val="238"/>
      <scheme val="minor"/>
    </font>
    <font>
      <u/>
      <sz val="6"/>
      <color theme="10"/>
      <name val="Calibri"/>
      <family val="2"/>
      <scheme val="minor"/>
    </font>
    <font>
      <sz val="11"/>
      <color theme="1"/>
      <name val="Calibri"/>
      <family val="2"/>
      <charset val="238"/>
      <scheme val="minor"/>
    </font>
    <font>
      <sz val="9"/>
      <color rgb="FFFF0000"/>
      <name val="Calibri"/>
      <family val="2"/>
      <scheme val="minor"/>
    </font>
    <font>
      <sz val="8"/>
      <color rgb="FFFF0000"/>
      <name val="Calibri"/>
      <family val="2"/>
      <scheme val="minor"/>
    </font>
    <font>
      <b/>
      <sz val="8"/>
      <color theme="1"/>
      <name val="Calibri"/>
      <family val="2"/>
      <charset val="238"/>
      <scheme val="minor"/>
    </font>
    <font>
      <b/>
      <vertAlign val="superscript"/>
      <sz val="8"/>
      <color theme="1"/>
      <name val="Calibri"/>
      <family val="2"/>
      <charset val="238"/>
      <scheme val="minor"/>
    </font>
    <font>
      <sz val="7"/>
      <color theme="1"/>
      <name val="Calibri"/>
      <family val="2"/>
      <charset val="238"/>
      <scheme val="minor"/>
    </font>
    <font>
      <i/>
      <vertAlign val="superscript"/>
      <sz val="9"/>
      <color theme="1"/>
      <name val="Calibri"/>
      <family val="2"/>
      <charset val="238"/>
      <scheme val="minor"/>
    </font>
    <font>
      <b/>
      <sz val="14"/>
      <color rgb="FFFF0000"/>
      <name val="Calibri"/>
      <family val="2"/>
      <charset val="238"/>
      <scheme val="minor"/>
    </font>
    <font>
      <sz val="11"/>
      <color rgb="FFFF0000"/>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4">
    <border>
      <left/>
      <right/>
      <top/>
      <bottom/>
      <diagonal/>
    </border>
    <border>
      <left/>
      <right/>
      <top/>
      <bottom style="dashed">
        <color theme="0" tint="-0.34998626667073579"/>
      </bottom>
      <diagonal/>
    </border>
    <border>
      <left/>
      <right/>
      <top/>
      <bottom style="dashed">
        <color theme="0" tint="-0.24994659260841701"/>
      </bottom>
      <diagonal/>
    </border>
    <border>
      <left/>
      <right/>
      <top style="dashed">
        <color theme="0" tint="-0.34998626667073579"/>
      </top>
      <bottom/>
      <diagonal/>
    </border>
  </borders>
  <cellStyleXfs count="4">
    <xf numFmtId="0" fontId="0" fillId="0" borderId="0"/>
    <xf numFmtId="0" fontId="4"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91">
    <xf numFmtId="0" fontId="0" fillId="0" borderId="0" xfId="0"/>
    <xf numFmtId="14" fontId="0" fillId="0" borderId="0" xfId="0" applyNumberFormat="1"/>
    <xf numFmtId="0" fontId="2" fillId="0" borderId="0" xfId="0" applyFont="1"/>
    <xf numFmtId="0" fontId="4" fillId="0" borderId="0" xfId="1"/>
    <xf numFmtId="10" fontId="0" fillId="0" borderId="0" xfId="0" applyNumberFormat="1"/>
    <xf numFmtId="0" fontId="5" fillId="0" borderId="0" xfId="1" applyFont="1"/>
    <xf numFmtId="3" fontId="0" fillId="0" borderId="0" xfId="0" applyNumberFormat="1" applyFill="1"/>
    <xf numFmtId="3" fontId="0" fillId="0" borderId="0" xfId="0" applyNumberFormat="1"/>
    <xf numFmtId="0" fontId="2" fillId="0" borderId="0" xfId="0" applyFont="1" applyAlignment="1">
      <alignment horizontal="center" vertical="center" wrapText="1"/>
    </xf>
    <xf numFmtId="0" fontId="0" fillId="0" borderId="0" xfId="0" applyAlignment="1">
      <alignment horizontal="center" vertical="center" wrapText="1"/>
    </xf>
    <xf numFmtId="165" fontId="0" fillId="0" borderId="0" xfId="0" applyNumberFormat="1" applyFill="1"/>
    <xf numFmtId="0" fontId="0" fillId="0" borderId="0" xfId="0" applyAlignment="1">
      <alignment horizontal="center"/>
    </xf>
    <xf numFmtId="0" fontId="0" fillId="0" borderId="0" xfId="0" applyFill="1"/>
    <xf numFmtId="0" fontId="7" fillId="0" borderId="0" xfId="0" applyFont="1"/>
    <xf numFmtId="0" fontId="2" fillId="0" borderId="0" xfId="0" applyFont="1" applyAlignment="1">
      <alignment horizontal="right" vertical="center"/>
    </xf>
    <xf numFmtId="0" fontId="0" fillId="2" borderId="0" xfId="0" applyFill="1" applyAlignment="1">
      <alignment horizontal="center"/>
    </xf>
    <xf numFmtId="0" fontId="0" fillId="2" borderId="0" xfId="0" applyFill="1"/>
    <xf numFmtId="3" fontId="0" fillId="2" borderId="0" xfId="0" applyNumberFormat="1" applyFill="1"/>
    <xf numFmtId="0" fontId="0" fillId="3" borderId="0" xfId="0" applyFill="1" applyAlignment="1">
      <alignment horizontal="center"/>
    </xf>
    <xf numFmtId="0" fontId="0" fillId="3" borderId="0" xfId="0" applyFill="1"/>
    <xf numFmtId="3" fontId="0" fillId="3" borderId="0" xfId="0" applyNumberFormat="1" applyFill="1"/>
    <xf numFmtId="0" fontId="2" fillId="0" borderId="0" xfId="0" applyFont="1" applyAlignment="1">
      <alignment vertical="center" wrapText="1"/>
    </xf>
    <xf numFmtId="164" fontId="0" fillId="0" borderId="0" xfId="2" applyNumberFormat="1" applyFont="1" applyFill="1"/>
    <xf numFmtId="0" fontId="11" fillId="0" borderId="0" xfId="1" applyFont="1"/>
    <xf numFmtId="0" fontId="12" fillId="0" borderId="0" xfId="0" applyFont="1"/>
    <xf numFmtId="3" fontId="0" fillId="0" borderId="0" xfId="0" applyNumberFormat="1" applyFill="1" applyBorder="1"/>
    <xf numFmtId="164" fontId="0" fillId="0" borderId="0" xfId="2" applyNumberFormat="1" applyFont="1" applyFill="1" applyBorder="1"/>
    <xf numFmtId="0" fontId="0" fillId="0" borderId="1" xfId="0" applyBorder="1"/>
    <xf numFmtId="3" fontId="0" fillId="0" borderId="1" xfId="0" applyNumberFormat="1" applyFill="1" applyBorder="1"/>
    <xf numFmtId="164" fontId="0" fillId="0" borderId="1" xfId="2" applyNumberFormat="1" applyFont="1" applyFill="1" applyBorder="1"/>
    <xf numFmtId="0" fontId="2" fillId="0" borderId="1" xfId="0" applyFont="1" applyBorder="1"/>
    <xf numFmtId="0" fontId="0" fillId="0" borderId="0" xfId="0" applyBorder="1"/>
    <xf numFmtId="4" fontId="7" fillId="0" borderId="0" xfId="0" applyNumberFormat="1" applyFont="1" applyFill="1" applyBorder="1"/>
    <xf numFmtId="4" fontId="9" fillId="0" borderId="0" xfId="0" applyNumberFormat="1" applyFont="1" applyFill="1" applyBorder="1"/>
    <xf numFmtId="0" fontId="2" fillId="0" borderId="2" xfId="0" applyFont="1" applyBorder="1"/>
    <xf numFmtId="0" fontId="0" fillId="0" borderId="2" xfId="0" applyBorder="1"/>
    <xf numFmtId="3" fontId="0" fillId="0" borderId="2" xfId="0" applyNumberFormat="1" applyFill="1" applyBorder="1"/>
    <xf numFmtId="0" fontId="7" fillId="0" borderId="0" xfId="0" applyFont="1" applyBorder="1"/>
    <xf numFmtId="164" fontId="0" fillId="3" borderId="0" xfId="2" applyNumberFormat="1" applyFont="1" applyFill="1"/>
    <xf numFmtId="164" fontId="0" fillId="2" borderId="0" xfId="2" applyNumberFormat="1" applyFont="1" applyFill="1"/>
    <xf numFmtId="0" fontId="2" fillId="0" borderId="0" xfId="0" applyFont="1" applyFill="1" applyAlignment="1">
      <alignment horizontal="right"/>
    </xf>
    <xf numFmtId="0" fontId="13" fillId="0" borderId="0" xfId="0" applyFont="1"/>
    <xf numFmtId="0" fontId="0" fillId="0" borderId="0" xfId="0" applyFill="1" applyAlignment="1">
      <alignment horizontal="center"/>
    </xf>
    <xf numFmtId="0" fontId="8" fillId="0" borderId="0" xfId="0" applyFont="1"/>
    <xf numFmtId="0" fontId="10" fillId="0" borderId="0" xfId="0" applyFont="1"/>
    <xf numFmtId="3" fontId="0" fillId="0" borderId="0" xfId="0" applyNumberFormat="1" applyFill="1" applyBorder="1" applyAlignment="1">
      <alignment horizontal="right"/>
    </xf>
    <xf numFmtId="0" fontId="5" fillId="0" borderId="0" xfId="1" applyFont="1" applyFill="1"/>
    <xf numFmtId="165" fontId="0" fillId="0" borderId="0" xfId="0" applyNumberFormat="1" applyFill="1" applyBorder="1"/>
    <xf numFmtId="165" fontId="0" fillId="0" borderId="1" xfId="0" applyNumberFormat="1" applyFill="1" applyBorder="1"/>
    <xf numFmtId="4" fontId="0" fillId="0" borderId="0" xfId="0" applyNumberFormat="1" applyFill="1" applyBorder="1"/>
    <xf numFmtId="165" fontId="7" fillId="0" borderId="0" xfId="0" applyNumberFormat="1" applyFont="1" applyFill="1" applyBorder="1"/>
    <xf numFmtId="165" fontId="9" fillId="0" borderId="0" xfId="0" applyNumberFormat="1" applyFont="1" applyFill="1" applyBorder="1"/>
    <xf numFmtId="0" fontId="16" fillId="0" borderId="0" xfId="0" applyFont="1"/>
    <xf numFmtId="0" fontId="2" fillId="0" borderId="1" xfId="0" applyFont="1" applyBorder="1" applyAlignment="1">
      <alignment horizontal="center"/>
    </xf>
    <xf numFmtId="0" fontId="0" fillId="0" borderId="1" xfId="0" applyBorder="1" applyAlignment="1">
      <alignment horizontal="center"/>
    </xf>
    <xf numFmtId="0" fontId="2" fillId="0" borderId="2" xfId="0" applyFont="1" applyBorder="1" applyAlignment="1">
      <alignment horizontal="center"/>
    </xf>
    <xf numFmtId="0" fontId="4" fillId="0" borderId="0" xfId="1" applyFill="1"/>
    <xf numFmtId="49" fontId="0" fillId="0" borderId="0" xfId="0" applyNumberFormat="1" applyFill="1" applyAlignment="1">
      <alignment horizontal="left"/>
    </xf>
    <xf numFmtId="0" fontId="15" fillId="0" borderId="0" xfId="0" applyFont="1" applyFill="1"/>
    <xf numFmtId="49" fontId="16" fillId="0" borderId="0" xfId="0" applyNumberFormat="1" applyFont="1" applyAlignment="1">
      <alignment horizontal="right"/>
    </xf>
    <xf numFmtId="10" fontId="0" fillId="0" borderId="0" xfId="0" applyNumberFormat="1" applyFill="1" applyAlignment="1">
      <alignment horizontal="left"/>
    </xf>
    <xf numFmtId="10" fontId="0" fillId="0" borderId="0" xfId="0" applyNumberFormat="1" applyFill="1" applyAlignment="1">
      <alignment horizontal="left"/>
    </xf>
    <xf numFmtId="0" fontId="2" fillId="0" borderId="0" xfId="0" applyFont="1" applyAlignment="1">
      <alignment horizontal="center" vertical="center" wrapText="1"/>
    </xf>
    <xf numFmtId="9" fontId="0" fillId="0" borderId="0" xfId="0" applyNumberFormat="1" applyFill="1" applyAlignment="1">
      <alignment horizontal="left"/>
    </xf>
    <xf numFmtId="0" fontId="3" fillId="0" borderId="0" xfId="0" applyFont="1" applyBorder="1" applyAlignment="1"/>
    <xf numFmtId="0" fontId="0" fillId="0" borderId="0" xfId="0" applyFont="1"/>
    <xf numFmtId="164" fontId="0" fillId="0" borderId="0" xfId="0" applyNumberFormat="1" applyFill="1"/>
    <xf numFmtId="164" fontId="0" fillId="3" borderId="0" xfId="0" applyNumberFormat="1" applyFill="1"/>
    <xf numFmtId="164" fontId="0" fillId="2" borderId="0" xfId="0" applyNumberFormat="1" applyFill="1"/>
    <xf numFmtId="0" fontId="17" fillId="0" borderId="0" xfId="0" applyFont="1" applyFill="1"/>
    <xf numFmtId="3" fontId="0" fillId="0" borderId="0" xfId="0" applyNumberFormat="1" applyBorder="1"/>
    <xf numFmtId="3" fontId="0" fillId="0" borderId="1" xfId="0" applyNumberFormat="1" applyBorder="1"/>
    <xf numFmtId="0" fontId="0" fillId="0" borderId="3" xfId="0" applyBorder="1"/>
    <xf numFmtId="3" fontId="0" fillId="0" borderId="3" xfId="0" applyNumberFormat="1" applyBorder="1"/>
    <xf numFmtId="3" fontId="0" fillId="0" borderId="3" xfId="0" applyNumberFormat="1" applyFill="1" applyBorder="1"/>
    <xf numFmtId="9" fontId="0" fillId="0" borderId="0" xfId="2" applyNumberFormat="1" applyFont="1" applyFill="1" applyBorder="1"/>
    <xf numFmtId="0" fontId="2" fillId="0" borderId="0" xfId="0" applyFont="1" applyAlignment="1">
      <alignment horizontal="center" vertical="center" wrapText="1"/>
    </xf>
    <xf numFmtId="0" fontId="3" fillId="0" borderId="0" xfId="0" applyFont="1" applyBorder="1" applyAlignment="1">
      <alignment horizontal="center"/>
    </xf>
    <xf numFmtId="10" fontId="0" fillId="0" borderId="0" xfId="0" applyNumberFormat="1" applyFill="1" applyAlignment="1">
      <alignment horizontal="left"/>
    </xf>
    <xf numFmtId="0" fontId="2" fillId="0" borderId="0" xfId="0" applyFont="1" applyAlignment="1">
      <alignment horizontal="center" vertical="center" wrapText="1"/>
    </xf>
    <xf numFmtId="10" fontId="0" fillId="0" borderId="0" xfId="0" applyNumberFormat="1" applyFill="1" applyAlignment="1">
      <alignment horizontal="left"/>
    </xf>
    <xf numFmtId="1" fontId="0" fillId="0" borderId="0" xfId="0" applyNumberFormat="1"/>
    <xf numFmtId="0" fontId="2" fillId="0" borderId="0" xfId="0" applyFont="1" applyBorder="1" applyAlignment="1">
      <alignment horizontal="center"/>
    </xf>
    <xf numFmtId="164" fontId="0" fillId="0" borderId="0" xfId="2" applyNumberFormat="1" applyFont="1"/>
    <xf numFmtId="3" fontId="0" fillId="2" borderId="0" xfId="0" applyNumberFormat="1" applyFill="1" applyBorder="1"/>
    <xf numFmtId="165" fontId="0" fillId="0" borderId="0" xfId="0" applyNumberFormat="1" applyBorder="1"/>
    <xf numFmtId="165" fontId="0" fillId="0" borderId="1" xfId="0" applyNumberFormat="1" applyBorder="1"/>
    <xf numFmtId="165" fontId="0" fillId="0" borderId="0" xfId="0" applyNumberFormat="1"/>
    <xf numFmtId="10" fontId="0" fillId="0" borderId="0" xfId="0" applyNumberFormat="1" applyFill="1" applyAlignment="1">
      <alignment horizontal="left"/>
    </xf>
    <xf numFmtId="0" fontId="19" fillId="0" borderId="0" xfId="1" applyFont="1"/>
    <xf numFmtId="0" fontId="8" fillId="0" borderId="0" xfId="0" applyFont="1" applyFill="1"/>
    <xf numFmtId="0" fontId="20" fillId="0" borderId="0" xfId="0" applyFont="1" applyFill="1"/>
    <xf numFmtId="0" fontId="19" fillId="0" borderId="0" xfId="1" applyFont="1" applyFill="1"/>
    <xf numFmtId="0" fontId="21" fillId="0" borderId="0" xfId="1" applyFont="1" applyFill="1"/>
    <xf numFmtId="0" fontId="11" fillId="0" borderId="0" xfId="1" applyFont="1" applyFill="1"/>
    <xf numFmtId="0" fontId="2" fillId="0" borderId="0" xfId="0" applyFont="1" applyFill="1"/>
    <xf numFmtId="0" fontId="2" fillId="0" borderId="0" xfId="0" applyFont="1" applyFill="1" applyAlignment="1">
      <alignment horizontal="center" vertical="center" wrapText="1"/>
    </xf>
    <xf numFmtId="0" fontId="2" fillId="0" borderId="0" xfId="0" applyFont="1" applyFill="1" applyAlignment="1">
      <alignment horizontal="right" vertical="center"/>
    </xf>
    <xf numFmtId="10" fontId="0" fillId="0" borderId="0" xfId="2" applyNumberFormat="1" applyFont="1" applyFill="1"/>
    <xf numFmtId="167" fontId="0" fillId="0" borderId="0" xfId="0" applyNumberFormat="1"/>
    <xf numFmtId="0" fontId="3" fillId="0" borderId="0" xfId="0" applyFont="1" applyBorder="1" applyAlignment="1">
      <alignment horizontal="center"/>
    </xf>
    <xf numFmtId="1" fontId="0" fillId="3" borderId="0" xfId="0" applyNumberFormat="1" applyFill="1"/>
    <xf numFmtId="0" fontId="2" fillId="0" borderId="0" xfId="0" applyFont="1" applyFill="1" applyBorder="1" applyAlignment="1">
      <alignment horizontal="center"/>
    </xf>
    <xf numFmtId="0" fontId="2" fillId="0" borderId="0" xfId="0" applyFont="1" applyBorder="1"/>
    <xf numFmtId="168" fontId="7" fillId="0" borderId="0" xfId="0" applyNumberFormat="1" applyFont="1" applyBorder="1"/>
    <xf numFmtId="10" fontId="0" fillId="0" borderId="0" xfId="0" applyNumberFormat="1" applyFill="1" applyAlignment="1">
      <alignment horizontal="left"/>
    </xf>
    <xf numFmtId="0" fontId="0" fillId="0" borderId="0" xfId="0" applyFill="1" applyAlignment="1">
      <alignment horizontal="center" vertical="center" wrapText="1"/>
    </xf>
    <xf numFmtId="0" fontId="22" fillId="3" borderId="0" xfId="0" applyFont="1" applyFill="1" applyAlignment="1">
      <alignment horizontal="center" vertical="center" wrapText="1"/>
    </xf>
    <xf numFmtId="0" fontId="22" fillId="3" borderId="0" xfId="0" applyFont="1" applyFill="1"/>
    <xf numFmtId="0" fontId="22" fillId="3" borderId="0" xfId="0" applyFont="1" applyFill="1" applyAlignment="1">
      <alignment horizontal="left" vertical="center" wrapText="1"/>
    </xf>
    <xf numFmtId="3" fontId="22" fillId="3" borderId="0" xfId="0" applyNumberFormat="1" applyFont="1" applyFill="1" applyAlignment="1">
      <alignment horizontal="right" vertical="center"/>
    </xf>
    <xf numFmtId="164" fontId="22" fillId="3" borderId="0" xfId="0" applyNumberFormat="1" applyFont="1" applyFill="1" applyAlignment="1">
      <alignment horizontal="right" vertical="center"/>
    </xf>
    <xf numFmtId="0" fontId="12" fillId="0" borderId="0" xfId="0" applyFont="1" applyFill="1"/>
    <xf numFmtId="165" fontId="23" fillId="0" borderId="0" xfId="0" applyNumberFormat="1" applyFont="1" applyFill="1" applyBorder="1"/>
    <xf numFmtId="3" fontId="24" fillId="0" borderId="0" xfId="0" applyNumberFormat="1" applyFont="1" applyBorder="1"/>
    <xf numFmtId="0" fontId="0" fillId="0" borderId="0" xfId="0" applyBorder="1" applyAlignment="1">
      <alignment horizontal="center"/>
    </xf>
    <xf numFmtId="0" fontId="25" fillId="0" borderId="2" xfId="0" applyFont="1" applyBorder="1" applyAlignment="1">
      <alignment horizontal="center"/>
    </xf>
    <xf numFmtId="0" fontId="25" fillId="0" borderId="2" xfId="0" applyFont="1" applyBorder="1" applyAlignment="1">
      <alignment horizontal="center" vertical="center"/>
    </xf>
    <xf numFmtId="0" fontId="0" fillId="0" borderId="0" xfId="0" applyFill="1" applyBorder="1"/>
    <xf numFmtId="1" fontId="0" fillId="0" borderId="0" xfId="0" applyNumberFormat="1" applyFill="1"/>
    <xf numFmtId="0" fontId="7" fillId="0" borderId="0" xfId="0" applyFont="1" applyFill="1"/>
    <xf numFmtId="0" fontId="25" fillId="0" borderId="1" xfId="0" applyFont="1" applyBorder="1" applyAlignment="1">
      <alignment horizontal="center"/>
    </xf>
    <xf numFmtId="0" fontId="25" fillId="0" borderId="1" xfId="0" applyFont="1" applyBorder="1" applyAlignment="1">
      <alignment horizontal="center" vertical="center"/>
    </xf>
    <xf numFmtId="0" fontId="0" fillId="0" borderId="0" xfId="0" applyAlignment="1">
      <alignment horizontal="left"/>
    </xf>
    <xf numFmtId="0" fontId="3" fillId="0" borderId="0" xfId="0" applyFont="1" applyBorder="1" applyAlignment="1">
      <alignment horizontal="center"/>
    </xf>
    <xf numFmtId="0" fontId="10" fillId="0" borderId="0" xfId="0" applyFont="1" applyFill="1"/>
    <xf numFmtId="168" fontId="0" fillId="0" borderId="0" xfId="0" applyNumberFormat="1"/>
    <xf numFmtId="168" fontId="0" fillId="3" borderId="0" xfId="0" applyNumberFormat="1" applyFill="1"/>
    <xf numFmtId="168" fontId="0" fillId="2" borderId="0" xfId="0" applyNumberFormat="1" applyFill="1"/>
    <xf numFmtId="165" fontId="0" fillId="0" borderId="3" xfId="0" applyNumberFormat="1" applyFill="1" applyBorder="1"/>
    <xf numFmtId="3" fontId="0" fillId="0" borderId="0" xfId="0" quotePrefix="1" applyNumberFormat="1" applyAlignment="1">
      <alignment horizontal="right"/>
    </xf>
    <xf numFmtId="10" fontId="0" fillId="0" borderId="0" xfId="0" applyNumberFormat="1" applyFill="1" applyAlignment="1">
      <alignment horizontal="left"/>
    </xf>
    <xf numFmtId="1" fontId="0" fillId="0" borderId="0" xfId="0" applyNumberFormat="1" applyBorder="1"/>
    <xf numFmtId="0" fontId="2" fillId="0" borderId="0" xfId="0" applyFont="1" applyAlignment="1">
      <alignment horizontal="center" vertical="center" wrapText="1"/>
    </xf>
    <xf numFmtId="169" fontId="2" fillId="0" borderId="0" xfId="0" applyNumberFormat="1" applyFont="1" applyAlignment="1"/>
    <xf numFmtId="0" fontId="31" fillId="0" borderId="0" xfId="0" applyFont="1" applyFill="1" applyAlignment="1">
      <alignment horizontal="right"/>
    </xf>
    <xf numFmtId="0" fontId="30" fillId="0" borderId="0" xfId="0" applyFont="1" applyFill="1" applyAlignment="1">
      <alignment horizontal="center"/>
    </xf>
    <xf numFmtId="0" fontId="30" fillId="0" borderId="0" xfId="0" applyFont="1" applyFill="1"/>
    <xf numFmtId="3" fontId="30" fillId="0" borderId="0" xfId="0" applyNumberFormat="1" applyFont="1" applyFill="1"/>
    <xf numFmtId="164" fontId="30" fillId="0" borderId="0" xfId="2" applyNumberFormat="1" applyFont="1" applyFill="1"/>
    <xf numFmtId="0" fontId="2" fillId="0" borderId="0" xfId="0" applyFont="1" applyAlignment="1">
      <alignment horizontal="left" vertical="center"/>
    </xf>
    <xf numFmtId="0" fontId="2" fillId="0" borderId="0" xfId="0" applyFont="1" applyAlignment="1">
      <alignment horizontal="center"/>
    </xf>
    <xf numFmtId="169" fontId="2" fillId="0" borderId="0" xfId="0" applyNumberFormat="1" applyFont="1" applyFill="1" applyAlignment="1">
      <alignment horizontal="center"/>
    </xf>
    <xf numFmtId="0" fontId="31" fillId="0" borderId="0" xfId="0" applyFont="1" applyFill="1" applyAlignment="1">
      <alignment horizontal="center" vertical="center" wrapText="1"/>
    </xf>
    <xf numFmtId="0" fontId="31" fillId="0" borderId="0" xfId="0" applyFont="1" applyFill="1" applyAlignment="1">
      <alignment horizontal="right" vertical="center"/>
    </xf>
    <xf numFmtId="168" fontId="30" fillId="0" borderId="0" xfId="0" applyNumberFormat="1" applyFont="1" applyFill="1"/>
    <xf numFmtId="3" fontId="0" fillId="0" borderId="0" xfId="0" quotePrefix="1" applyNumberFormat="1" applyFill="1" applyBorder="1" applyAlignment="1">
      <alignment horizontal="right"/>
    </xf>
    <xf numFmtId="1" fontId="0" fillId="0" borderId="0" xfId="0" applyNumberFormat="1" applyFill="1" applyBorder="1"/>
    <xf numFmtId="165" fontId="0" fillId="0" borderId="0" xfId="0" quotePrefix="1" applyNumberFormat="1" applyFill="1" applyBorder="1" applyAlignment="1">
      <alignment horizontal="right"/>
    </xf>
    <xf numFmtId="0" fontId="18" fillId="0" borderId="0" xfId="0" applyFont="1" applyAlignment="1">
      <alignment horizontal="right"/>
    </xf>
    <xf numFmtId="0" fontId="2" fillId="0" borderId="0" xfId="0" applyFont="1" applyAlignment="1">
      <alignment horizontal="center" vertical="center" wrapText="1"/>
    </xf>
    <xf numFmtId="0" fontId="0" fillId="0" borderId="0" xfId="0" applyAlignment="1">
      <alignment horizontal="center"/>
    </xf>
    <xf numFmtId="10" fontId="0" fillId="0" borderId="0" xfId="0" applyNumberFormat="1" applyFill="1" applyAlignment="1">
      <alignment horizontal="left"/>
    </xf>
    <xf numFmtId="49" fontId="0" fillId="0" borderId="0" xfId="0" applyNumberFormat="1" applyAlignment="1">
      <alignment horizontal="left"/>
    </xf>
    <xf numFmtId="0" fontId="3" fillId="0" borderId="0" xfId="0" applyFont="1"/>
    <xf numFmtId="0" fontId="3" fillId="0" borderId="0" xfId="0" applyFont="1" applyAlignment="1">
      <alignment horizontal="center"/>
    </xf>
    <xf numFmtId="0" fontId="2" fillId="0" borderId="0" xfId="0" applyFont="1" applyAlignment="1">
      <alignment horizontal="right"/>
    </xf>
    <xf numFmtId="0" fontId="1" fillId="3" borderId="0" xfId="0" applyFont="1" applyFill="1" applyAlignment="1">
      <alignment horizontal="center"/>
    </xf>
    <xf numFmtId="0" fontId="1" fillId="3" borderId="0" xfId="0" applyFont="1" applyFill="1"/>
    <xf numFmtId="164" fontId="1" fillId="3" borderId="0" xfId="2" applyNumberFormat="1" applyFont="1" applyFill="1"/>
    <xf numFmtId="3" fontId="0" fillId="0" borderId="0" xfId="0" applyNumberFormat="1" applyAlignment="1">
      <alignment horizontal="right"/>
    </xf>
    <xf numFmtId="170" fontId="0" fillId="0" borderId="0" xfId="3" applyNumberFormat="1" applyFont="1"/>
    <xf numFmtId="3" fontId="0" fillId="0" borderId="1" xfId="0" applyNumberFormat="1" applyBorder="1" applyAlignment="1">
      <alignment wrapText="1"/>
    </xf>
    <xf numFmtId="165" fontId="7" fillId="0" borderId="0" xfId="0" applyNumberFormat="1" applyFont="1"/>
    <xf numFmtId="4" fontId="7" fillId="0" borderId="0" xfId="0" applyNumberFormat="1" applyFont="1"/>
    <xf numFmtId="167" fontId="7" fillId="0" borderId="0" xfId="0" applyNumberFormat="1" applyFont="1"/>
    <xf numFmtId="165" fontId="9" fillId="0" borderId="0" xfId="0" applyNumberFormat="1" applyFont="1"/>
    <xf numFmtId="167" fontId="9" fillId="0" borderId="0" xfId="0" applyNumberFormat="1" applyFont="1"/>
    <xf numFmtId="3" fontId="24" fillId="0" borderId="0" xfId="0" applyNumberFormat="1" applyFont="1"/>
    <xf numFmtId="171" fontId="0" fillId="0" borderId="0" xfId="0" applyNumberFormat="1"/>
    <xf numFmtId="9" fontId="0" fillId="0" borderId="0" xfId="2" applyFont="1" applyFill="1" applyBorder="1"/>
    <xf numFmtId="3" fontId="0" fillId="0" borderId="2" xfId="0" applyNumberFormat="1" applyBorder="1"/>
    <xf numFmtId="0" fontId="30" fillId="0" borderId="0" xfId="0" applyFont="1"/>
    <xf numFmtId="49" fontId="5" fillId="0" borderId="0" xfId="1" applyNumberFormat="1" applyFont="1" applyFill="1" applyAlignment="1">
      <alignment horizontal="left"/>
    </xf>
    <xf numFmtId="0" fontId="3" fillId="0" borderId="0" xfId="0" applyFont="1" applyFill="1" applyBorder="1" applyAlignment="1"/>
    <xf numFmtId="166" fontId="18" fillId="0" borderId="0" xfId="0" applyNumberFormat="1" applyFont="1" applyAlignment="1">
      <alignment horizontal="center"/>
    </xf>
    <xf numFmtId="0" fontId="2" fillId="0" borderId="0" xfId="0" applyFont="1" applyAlignment="1">
      <alignment horizontal="left" vertical="center" wrapText="1"/>
    </xf>
    <xf numFmtId="0" fontId="3" fillId="0" borderId="0" xfId="0" applyFont="1" applyAlignment="1">
      <alignment horizontal="center"/>
    </xf>
    <xf numFmtId="0" fontId="16" fillId="0" borderId="0" xfId="0" applyFont="1" applyFill="1" applyAlignment="1">
      <alignment horizontal="left" vertical="center" wrapText="1"/>
    </xf>
    <xf numFmtId="0" fontId="16" fillId="0" borderId="0" xfId="0" applyFont="1" applyAlignment="1">
      <alignment horizontal="left" vertical="center" wrapText="1"/>
    </xf>
    <xf numFmtId="0" fontId="2" fillId="0" borderId="0" xfId="0" applyFont="1" applyFill="1" applyAlignment="1">
      <alignment horizontal="left" vertical="center" wrapText="1"/>
    </xf>
    <xf numFmtId="0" fontId="3" fillId="0" borderId="0" xfId="0" applyFont="1" applyBorder="1" applyAlignment="1">
      <alignment horizontal="center"/>
    </xf>
    <xf numFmtId="166" fontId="18" fillId="0" borderId="0" xfId="0" applyNumberFormat="1" applyFont="1" applyFill="1" applyAlignment="1">
      <alignment horizontal="left"/>
    </xf>
    <xf numFmtId="166" fontId="18" fillId="0" borderId="0" xfId="0" applyNumberFormat="1" applyFont="1" applyFill="1" applyAlignment="1">
      <alignment horizontal="center"/>
    </xf>
    <xf numFmtId="169" fontId="31" fillId="0" borderId="0" xfId="0" applyNumberFormat="1" applyFont="1" applyFill="1" applyAlignment="1">
      <alignment horizontal="center"/>
    </xf>
    <xf numFmtId="14" fontId="2" fillId="0" borderId="0" xfId="0" applyNumberFormat="1" applyFont="1" applyAlignment="1">
      <alignment horizontal="center"/>
    </xf>
    <xf numFmtId="3" fontId="0" fillId="0" borderId="0" xfId="0" applyNumberFormat="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0" fillId="0" borderId="0" xfId="0" applyAlignment="1"/>
    <xf numFmtId="10" fontId="0" fillId="0" borderId="0" xfId="0" applyNumberFormat="1" applyFill="1" applyAlignment="1">
      <alignment horizontal="left"/>
    </xf>
  </cellXfs>
  <cellStyles count="4">
    <cellStyle name="Ezres" xfId="3" builtinId="3"/>
    <cellStyle name="Hivatkozás" xfId="1" builtinId="8"/>
    <cellStyle name="Normál" xfId="0" builtinId="0"/>
    <cellStyle name="Százalék"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28</xdr:col>
      <xdr:colOff>142875</xdr:colOff>
      <xdr:row>0</xdr:row>
      <xdr:rowOff>94615</xdr:rowOff>
    </xdr:from>
    <xdr:to>
      <xdr:col>31</xdr:col>
      <xdr:colOff>66560</xdr:colOff>
      <xdr:row>1</xdr:row>
      <xdr:rowOff>123825</xdr:rowOff>
    </xdr:to>
    <xdr:pic>
      <xdr:nvPicPr>
        <xdr:cNvPr id="2" name="Kép 1">
          <a:extLst>
            <a:ext uri="{FF2B5EF4-FFF2-40B4-BE49-F238E27FC236}">
              <a16:creationId xmlns:a16="http://schemas.microsoft.com/office/drawing/2014/main" id="{1A218867-375D-4AD2-A6D0-BD99B6F43B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9425" y="94615"/>
          <a:ext cx="1333385" cy="264160"/>
        </a:xfrm>
        <a:prstGeom prst="rect">
          <a:avLst/>
        </a:prstGeom>
      </xdr:spPr>
    </xdr:pic>
    <xdr:clientData/>
  </xdr:twoCellAnchor>
  <xdr:twoCellAnchor editAs="oneCell">
    <xdr:from>
      <xdr:col>32</xdr:col>
      <xdr:colOff>6269</xdr:colOff>
      <xdr:row>0</xdr:row>
      <xdr:rowOff>34926</xdr:rowOff>
    </xdr:from>
    <xdr:to>
      <xdr:col>33</xdr:col>
      <xdr:colOff>323850</xdr:colOff>
      <xdr:row>1</xdr:row>
      <xdr:rowOff>179484</xdr:rowOff>
    </xdr:to>
    <xdr:pic>
      <xdr:nvPicPr>
        <xdr:cNvPr id="3" name="Kép 2">
          <a:extLst>
            <a:ext uri="{FF2B5EF4-FFF2-40B4-BE49-F238E27FC236}">
              <a16:creationId xmlns:a16="http://schemas.microsoft.com/office/drawing/2014/main" id="{B08F2E36-FAA0-407A-BCE2-6DEB1B589592}"/>
            </a:ext>
          </a:extLst>
        </xdr:cNvPr>
        <xdr:cNvPicPr>
          <a:picLocks noChangeAspect="1"/>
        </xdr:cNvPicPr>
      </xdr:nvPicPr>
      <xdr:blipFill>
        <a:blip xmlns:r="http://schemas.openxmlformats.org/officeDocument/2006/relationships" r:embed="rId2"/>
        <a:stretch>
          <a:fillRect/>
        </a:stretch>
      </xdr:blipFill>
      <xdr:spPr>
        <a:xfrm>
          <a:off x="13652419" y="34926"/>
          <a:ext cx="787481" cy="379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342900</xdr:colOff>
      <xdr:row>0</xdr:row>
      <xdr:rowOff>114300</xdr:rowOff>
    </xdr:from>
    <xdr:to>
      <xdr:col>16</xdr:col>
      <xdr:colOff>371035</xdr:colOff>
      <xdr:row>1</xdr:row>
      <xdr:rowOff>114300</xdr:rowOff>
    </xdr:to>
    <xdr:pic>
      <xdr:nvPicPr>
        <xdr:cNvPr id="2" name="Kép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8280" y="114300"/>
          <a:ext cx="1049215" cy="228600"/>
        </a:xfrm>
        <a:prstGeom prst="rect">
          <a:avLst/>
        </a:prstGeom>
      </xdr:spPr>
    </xdr:pic>
    <xdr:clientData/>
  </xdr:twoCellAnchor>
  <xdr:twoCellAnchor editAs="oneCell">
    <xdr:from>
      <xdr:col>18</xdr:col>
      <xdr:colOff>68580</xdr:colOff>
      <xdr:row>0</xdr:row>
      <xdr:rowOff>45721</xdr:rowOff>
    </xdr:from>
    <xdr:to>
      <xdr:col>20</xdr:col>
      <xdr:colOff>83820</xdr:colOff>
      <xdr:row>1</xdr:row>
      <xdr:rowOff>175773</xdr:rowOff>
    </xdr:to>
    <xdr:pic>
      <xdr:nvPicPr>
        <xdr:cNvPr id="3" name="Kép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7002780" y="45721"/>
          <a:ext cx="975360" cy="358652"/>
        </a:xfrm>
        <a:prstGeom prst="rect">
          <a:avLst/>
        </a:prstGeom>
      </xdr:spPr>
    </xdr:pic>
    <xdr:clientData/>
  </xdr:twoCellAnchor>
  <xdr:twoCellAnchor>
    <xdr:from>
      <xdr:col>15</xdr:col>
      <xdr:colOff>38100</xdr:colOff>
      <xdr:row>16</xdr:row>
      <xdr:rowOff>121920</xdr:rowOff>
    </xdr:from>
    <xdr:to>
      <xdr:col>15</xdr:col>
      <xdr:colOff>320040</xdr:colOff>
      <xdr:row>19</xdr:row>
      <xdr:rowOff>114300</xdr:rowOff>
    </xdr:to>
    <xdr:grpSp>
      <xdr:nvGrpSpPr>
        <xdr:cNvPr id="4" name="Csoportba foglalás 3">
          <a:extLst>
            <a:ext uri="{FF2B5EF4-FFF2-40B4-BE49-F238E27FC236}">
              <a16:creationId xmlns:a16="http://schemas.microsoft.com/office/drawing/2014/main" id="{00000000-0008-0000-0100-000004000000}"/>
            </a:ext>
          </a:extLst>
        </xdr:cNvPr>
        <xdr:cNvGrpSpPr/>
      </xdr:nvGrpSpPr>
      <xdr:grpSpPr>
        <a:xfrm>
          <a:off x="5476875" y="2931795"/>
          <a:ext cx="281940" cy="563880"/>
          <a:chOff x="7109460" y="3078480"/>
          <a:chExt cx="228600" cy="647575"/>
        </a:xfrm>
      </xdr:grpSpPr>
      <xdr:cxnSp macro="">
        <xdr:nvCxnSpPr>
          <xdr:cNvPr id="5" name="Egyenes összekötő nyíllal 4">
            <a:extLst>
              <a:ext uri="{FF2B5EF4-FFF2-40B4-BE49-F238E27FC236}">
                <a16:creationId xmlns:a16="http://schemas.microsoft.com/office/drawing/2014/main" id="{00000000-0008-0000-0100-000005000000}"/>
              </a:ext>
            </a:extLst>
          </xdr:cNvPr>
          <xdr:cNvCxnSpPr/>
        </xdr:nvCxnSpPr>
        <xdr:spPr>
          <a:xfrm flipH="1">
            <a:off x="7109460" y="3078480"/>
            <a:ext cx="228600" cy="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xnSp macro="">
        <xdr:nvCxnSpPr>
          <xdr:cNvPr id="6" name="Egyenes összekötő 5">
            <a:extLst>
              <a:ext uri="{FF2B5EF4-FFF2-40B4-BE49-F238E27FC236}">
                <a16:creationId xmlns:a16="http://schemas.microsoft.com/office/drawing/2014/main" id="{00000000-0008-0000-0100-000006000000}"/>
              </a:ext>
            </a:extLst>
          </xdr:cNvPr>
          <xdr:cNvCxnSpPr/>
        </xdr:nvCxnSpPr>
        <xdr:spPr>
          <a:xfrm>
            <a:off x="7338060" y="3078480"/>
            <a:ext cx="0" cy="647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Egyenes összekötő 6">
            <a:extLst>
              <a:ext uri="{FF2B5EF4-FFF2-40B4-BE49-F238E27FC236}">
                <a16:creationId xmlns:a16="http://schemas.microsoft.com/office/drawing/2014/main" id="{00000000-0008-0000-0100-000007000000}"/>
              </a:ext>
            </a:extLst>
          </xdr:cNvPr>
          <xdr:cNvCxnSpPr/>
        </xdr:nvCxnSpPr>
        <xdr:spPr>
          <a:xfrm flipH="1">
            <a:off x="7132320" y="3519191"/>
            <a:ext cx="2057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Egyenes összekötő 7">
            <a:extLst>
              <a:ext uri="{FF2B5EF4-FFF2-40B4-BE49-F238E27FC236}">
                <a16:creationId xmlns:a16="http://schemas.microsoft.com/office/drawing/2014/main" id="{00000000-0008-0000-0100-000008000000}"/>
              </a:ext>
            </a:extLst>
          </xdr:cNvPr>
          <xdr:cNvCxnSpPr/>
        </xdr:nvCxnSpPr>
        <xdr:spPr>
          <a:xfrm flipH="1">
            <a:off x="7132320" y="3726055"/>
            <a:ext cx="2057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31115</xdr:colOff>
      <xdr:row>0</xdr:row>
      <xdr:rowOff>116205</xdr:rowOff>
    </xdr:from>
    <xdr:to>
      <xdr:col>25</xdr:col>
      <xdr:colOff>104970</xdr:colOff>
      <xdr:row>1</xdr:row>
      <xdr:rowOff>116205</xdr:rowOff>
    </xdr:to>
    <xdr:pic>
      <xdr:nvPicPr>
        <xdr:cNvPr id="2" name="Kép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6915" y="116205"/>
          <a:ext cx="1026355" cy="238125"/>
        </a:xfrm>
        <a:prstGeom prst="rect">
          <a:avLst/>
        </a:prstGeom>
      </xdr:spPr>
    </xdr:pic>
    <xdr:clientData/>
  </xdr:twoCellAnchor>
  <xdr:twoCellAnchor editAs="oneCell">
    <xdr:from>
      <xdr:col>25</xdr:col>
      <xdr:colOff>200025</xdr:colOff>
      <xdr:row>0</xdr:row>
      <xdr:rowOff>73025</xdr:rowOff>
    </xdr:from>
    <xdr:to>
      <xdr:col>27</xdr:col>
      <xdr:colOff>415925</xdr:colOff>
      <xdr:row>1</xdr:row>
      <xdr:rowOff>143497</xdr:rowOff>
    </xdr:to>
    <xdr:pic>
      <xdr:nvPicPr>
        <xdr:cNvPr id="3" name="Kép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9458325" y="73025"/>
          <a:ext cx="1168400" cy="308597"/>
        </a:xfrm>
        <a:prstGeom prst="rect">
          <a:avLst/>
        </a:prstGeom>
      </xdr:spPr>
    </xdr:pic>
    <xdr:clientData/>
  </xdr:twoCellAnchor>
  <xdr:twoCellAnchor>
    <xdr:from>
      <xdr:col>14</xdr:col>
      <xdr:colOff>69850</xdr:colOff>
      <xdr:row>18</xdr:row>
      <xdr:rowOff>82550</xdr:rowOff>
    </xdr:from>
    <xdr:to>
      <xdr:col>14</xdr:col>
      <xdr:colOff>351790</xdr:colOff>
      <xdr:row>18</xdr:row>
      <xdr:rowOff>82550</xdr:rowOff>
    </xdr:to>
    <xdr:cxnSp macro="">
      <xdr:nvCxnSpPr>
        <xdr:cNvPr id="4" name="Egyenes összekötő nyíllal 3">
          <a:extLst>
            <a:ext uri="{FF2B5EF4-FFF2-40B4-BE49-F238E27FC236}">
              <a16:creationId xmlns:a16="http://schemas.microsoft.com/office/drawing/2014/main" id="{00000000-0008-0000-0000-000004000000}"/>
            </a:ext>
          </a:extLst>
        </xdr:cNvPr>
        <xdr:cNvCxnSpPr/>
      </xdr:nvCxnSpPr>
      <xdr:spPr>
        <a:xfrm flipH="1">
          <a:off x="5655310" y="3610610"/>
          <a:ext cx="281940" cy="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349250</xdr:colOff>
      <xdr:row>18</xdr:row>
      <xdr:rowOff>82550</xdr:rowOff>
    </xdr:from>
    <xdr:to>
      <xdr:col>14</xdr:col>
      <xdr:colOff>351792</xdr:colOff>
      <xdr:row>23</xdr:row>
      <xdr:rowOff>104321</xdr:rowOff>
    </xdr:to>
    <xdr:cxnSp macro="">
      <xdr:nvCxnSpPr>
        <xdr:cNvPr id="5" name="Egyenes összekötő 4">
          <a:extLst>
            <a:ext uri="{FF2B5EF4-FFF2-40B4-BE49-F238E27FC236}">
              <a16:creationId xmlns:a16="http://schemas.microsoft.com/office/drawing/2014/main" id="{00000000-0008-0000-0000-000005000000}"/>
            </a:ext>
          </a:extLst>
        </xdr:cNvPr>
        <xdr:cNvCxnSpPr/>
      </xdr:nvCxnSpPr>
      <xdr:spPr>
        <a:xfrm flipH="1">
          <a:off x="4803321" y="3561443"/>
          <a:ext cx="2542" cy="97427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89880</xdr:colOff>
      <xdr:row>19</xdr:row>
      <xdr:rowOff>102411</xdr:rowOff>
    </xdr:from>
    <xdr:to>
      <xdr:col>14</xdr:col>
      <xdr:colOff>343626</xdr:colOff>
      <xdr:row>19</xdr:row>
      <xdr:rowOff>102411</xdr:rowOff>
    </xdr:to>
    <xdr:cxnSp macro="">
      <xdr:nvCxnSpPr>
        <xdr:cNvPr id="6" name="Egyenes összekötő 5">
          <a:extLst>
            <a:ext uri="{FF2B5EF4-FFF2-40B4-BE49-F238E27FC236}">
              <a16:creationId xmlns:a16="http://schemas.microsoft.com/office/drawing/2014/main" id="{00000000-0008-0000-0000-000006000000}"/>
            </a:ext>
          </a:extLst>
        </xdr:cNvPr>
        <xdr:cNvCxnSpPr/>
      </xdr:nvCxnSpPr>
      <xdr:spPr>
        <a:xfrm flipH="1">
          <a:off x="5675340" y="3813351"/>
          <a:ext cx="2537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94416</xdr:colOff>
      <xdr:row>23</xdr:row>
      <xdr:rowOff>102496</xdr:rowOff>
    </xdr:from>
    <xdr:to>
      <xdr:col>14</xdr:col>
      <xdr:colOff>348162</xdr:colOff>
      <xdr:row>23</xdr:row>
      <xdr:rowOff>102496</xdr:rowOff>
    </xdr:to>
    <xdr:cxnSp macro="">
      <xdr:nvCxnSpPr>
        <xdr:cNvPr id="7" name="Egyenes összekötő 6">
          <a:extLst>
            <a:ext uri="{FF2B5EF4-FFF2-40B4-BE49-F238E27FC236}">
              <a16:creationId xmlns:a16="http://schemas.microsoft.com/office/drawing/2014/main" id="{00000000-0008-0000-0000-000007000000}"/>
            </a:ext>
          </a:extLst>
        </xdr:cNvPr>
        <xdr:cNvCxnSpPr/>
      </xdr:nvCxnSpPr>
      <xdr:spPr>
        <a:xfrm flipH="1">
          <a:off x="4548487" y="4533889"/>
          <a:ext cx="2537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571500</xdr:colOff>
      <xdr:row>0</xdr:row>
      <xdr:rowOff>22862</xdr:rowOff>
    </xdr:from>
    <xdr:to>
      <xdr:col>18</xdr:col>
      <xdr:colOff>186402</xdr:colOff>
      <xdr:row>2</xdr:row>
      <xdr:rowOff>10212</xdr:rowOff>
    </xdr:to>
    <xdr:pic>
      <xdr:nvPicPr>
        <xdr:cNvPr id="2" name="Kép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0" y="22862"/>
          <a:ext cx="834102" cy="398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198120</xdr:colOff>
      <xdr:row>0</xdr:row>
      <xdr:rowOff>106680</xdr:rowOff>
    </xdr:from>
    <xdr:to>
      <xdr:col>16</xdr:col>
      <xdr:colOff>66235</xdr:colOff>
      <xdr:row>1</xdr:row>
      <xdr:rowOff>106680</xdr:rowOff>
    </xdr:to>
    <xdr:pic>
      <xdr:nvPicPr>
        <xdr:cNvPr id="3" name="Kép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74920" y="106680"/>
          <a:ext cx="1049215" cy="228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192405</xdr:colOff>
      <xdr:row>0</xdr:row>
      <xdr:rowOff>106681</xdr:rowOff>
    </xdr:from>
    <xdr:to>
      <xdr:col>20</xdr:col>
      <xdr:colOff>165735</xdr:colOff>
      <xdr:row>1</xdr:row>
      <xdr:rowOff>54256</xdr:rowOff>
    </xdr:to>
    <xdr:pic>
      <xdr:nvPicPr>
        <xdr:cNvPr id="2" name="Kép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2205" y="106681"/>
          <a:ext cx="1287780" cy="176175"/>
        </a:xfrm>
        <a:prstGeom prst="rect">
          <a:avLst/>
        </a:prstGeom>
      </xdr:spPr>
    </xdr:pic>
    <xdr:clientData/>
  </xdr:twoCellAnchor>
  <xdr:twoCellAnchor editAs="oneCell">
    <xdr:from>
      <xdr:col>15</xdr:col>
      <xdr:colOff>411480</xdr:colOff>
      <xdr:row>0</xdr:row>
      <xdr:rowOff>0</xdr:rowOff>
    </xdr:from>
    <xdr:to>
      <xdr:col>17</xdr:col>
      <xdr:colOff>3302</xdr:colOff>
      <xdr:row>1</xdr:row>
      <xdr:rowOff>165735</xdr:rowOff>
    </xdr:to>
    <xdr:pic>
      <xdr:nvPicPr>
        <xdr:cNvPr id="3" name="Kép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16880" y="0"/>
          <a:ext cx="502412" cy="394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45720</xdr:colOff>
      <xdr:row>15</xdr:row>
      <xdr:rowOff>99060</xdr:rowOff>
    </xdr:from>
    <xdr:to>
      <xdr:col>17</xdr:col>
      <xdr:colOff>304800</xdr:colOff>
      <xdr:row>18</xdr:row>
      <xdr:rowOff>83820</xdr:rowOff>
    </xdr:to>
    <xdr:grpSp>
      <xdr:nvGrpSpPr>
        <xdr:cNvPr id="4" name="Csoportba foglalás 3">
          <a:extLst>
            <a:ext uri="{FF2B5EF4-FFF2-40B4-BE49-F238E27FC236}">
              <a16:creationId xmlns:a16="http://schemas.microsoft.com/office/drawing/2014/main" id="{00000000-0008-0000-0300-000004000000}"/>
            </a:ext>
          </a:extLst>
        </xdr:cNvPr>
        <xdr:cNvGrpSpPr/>
      </xdr:nvGrpSpPr>
      <xdr:grpSpPr>
        <a:xfrm>
          <a:off x="5951220" y="3004185"/>
          <a:ext cx="259080" cy="556260"/>
          <a:chOff x="6758940" y="2895600"/>
          <a:chExt cx="228600" cy="746760"/>
        </a:xfrm>
      </xdr:grpSpPr>
      <xdr:cxnSp macro="">
        <xdr:nvCxnSpPr>
          <xdr:cNvPr id="5" name="Egyenes összekötő nyíllal 4">
            <a:extLst>
              <a:ext uri="{FF2B5EF4-FFF2-40B4-BE49-F238E27FC236}">
                <a16:creationId xmlns:a16="http://schemas.microsoft.com/office/drawing/2014/main" id="{00000000-0008-0000-0300-000005000000}"/>
              </a:ext>
            </a:extLst>
          </xdr:cNvPr>
          <xdr:cNvCxnSpPr/>
        </xdr:nvCxnSpPr>
        <xdr:spPr>
          <a:xfrm flipH="1">
            <a:off x="6758940" y="2895600"/>
            <a:ext cx="228600" cy="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xnSp macro="">
        <xdr:nvCxnSpPr>
          <xdr:cNvPr id="6" name="Egyenes összekötő 5">
            <a:extLst>
              <a:ext uri="{FF2B5EF4-FFF2-40B4-BE49-F238E27FC236}">
                <a16:creationId xmlns:a16="http://schemas.microsoft.com/office/drawing/2014/main" id="{00000000-0008-0000-0300-000006000000}"/>
              </a:ext>
            </a:extLst>
          </xdr:cNvPr>
          <xdr:cNvCxnSpPr/>
        </xdr:nvCxnSpPr>
        <xdr:spPr>
          <a:xfrm>
            <a:off x="6987540" y="2895600"/>
            <a:ext cx="0" cy="7467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Egyenes összekötő 6">
            <a:extLst>
              <a:ext uri="{FF2B5EF4-FFF2-40B4-BE49-F238E27FC236}">
                <a16:creationId xmlns:a16="http://schemas.microsoft.com/office/drawing/2014/main" id="{00000000-0008-0000-0300-000007000000}"/>
              </a:ext>
            </a:extLst>
          </xdr:cNvPr>
          <xdr:cNvCxnSpPr/>
        </xdr:nvCxnSpPr>
        <xdr:spPr>
          <a:xfrm flipH="1">
            <a:off x="6781800" y="3142489"/>
            <a:ext cx="2057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76200</xdr:colOff>
      <xdr:row>18</xdr:row>
      <xdr:rowOff>83820</xdr:rowOff>
    </xdr:from>
    <xdr:to>
      <xdr:col>17</xdr:col>
      <xdr:colOff>312420</xdr:colOff>
      <xdr:row>18</xdr:row>
      <xdr:rowOff>83820</xdr:rowOff>
    </xdr:to>
    <xdr:cxnSp macro="">
      <xdr:nvCxnSpPr>
        <xdr:cNvPr id="8" name="Egyenes összekötő 7">
          <a:extLst>
            <a:ext uri="{FF2B5EF4-FFF2-40B4-BE49-F238E27FC236}">
              <a16:creationId xmlns:a16="http://schemas.microsoft.com/office/drawing/2014/main" id="{00000000-0008-0000-0300-000008000000}"/>
            </a:ext>
          </a:extLst>
        </xdr:cNvPr>
        <xdr:cNvCxnSpPr/>
      </xdr:nvCxnSpPr>
      <xdr:spPr>
        <a:xfrm flipH="1">
          <a:off x="6080760" y="3429000"/>
          <a:ext cx="2362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57150</xdr:colOff>
      <xdr:row>0</xdr:row>
      <xdr:rowOff>47625</xdr:rowOff>
    </xdr:from>
    <xdr:to>
      <xdr:col>24</xdr:col>
      <xdr:colOff>311468</xdr:colOff>
      <xdr:row>1</xdr:row>
      <xdr:rowOff>133350</xdr:rowOff>
    </xdr:to>
    <xdr:pic>
      <xdr:nvPicPr>
        <xdr:cNvPr id="2" name="Kép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80170" y="47625"/>
          <a:ext cx="741998" cy="314325"/>
        </a:xfrm>
        <a:prstGeom prst="rect">
          <a:avLst/>
        </a:prstGeom>
      </xdr:spPr>
    </xdr:pic>
    <xdr:clientData/>
  </xdr:twoCellAnchor>
  <xdr:twoCellAnchor editAs="oneCell">
    <xdr:from>
      <xdr:col>20</xdr:col>
      <xdr:colOff>167640</xdr:colOff>
      <xdr:row>0</xdr:row>
      <xdr:rowOff>106680</xdr:rowOff>
    </xdr:from>
    <xdr:to>
      <xdr:col>22</xdr:col>
      <xdr:colOff>241495</xdr:colOff>
      <xdr:row>1</xdr:row>
      <xdr:rowOff>106680</xdr:rowOff>
    </xdr:to>
    <xdr:pic>
      <xdr:nvPicPr>
        <xdr:cNvPr id="3" name="Kép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7620" y="106680"/>
          <a:ext cx="1049215" cy="228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30480</xdr:colOff>
      <xdr:row>0</xdr:row>
      <xdr:rowOff>84232</xdr:rowOff>
    </xdr:from>
    <xdr:to>
      <xdr:col>23</xdr:col>
      <xdr:colOff>459105</xdr:colOff>
      <xdr:row>1</xdr:row>
      <xdr:rowOff>104568</xdr:rowOff>
    </xdr:to>
    <xdr:pic>
      <xdr:nvPicPr>
        <xdr:cNvPr id="2" name="Kép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7520" y="84232"/>
          <a:ext cx="1449705" cy="248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68580</xdr:colOff>
      <xdr:row>0</xdr:row>
      <xdr:rowOff>45720</xdr:rowOff>
    </xdr:from>
    <xdr:to>
      <xdr:col>17</xdr:col>
      <xdr:colOff>249115</xdr:colOff>
      <xdr:row>1</xdr:row>
      <xdr:rowOff>45720</xdr:rowOff>
    </xdr:to>
    <xdr:pic>
      <xdr:nvPicPr>
        <xdr:cNvPr id="3" name="Kép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19700" y="45720"/>
          <a:ext cx="1049215" cy="228600"/>
        </a:xfrm>
        <a:prstGeom prst="rect">
          <a:avLst/>
        </a:prstGeom>
      </xdr:spPr>
    </xdr:pic>
    <xdr:clientData/>
  </xdr:twoCellAnchor>
  <xdr:twoCellAnchor>
    <xdr:from>
      <xdr:col>18</xdr:col>
      <xdr:colOff>45720</xdr:colOff>
      <xdr:row>16</xdr:row>
      <xdr:rowOff>99060</xdr:rowOff>
    </xdr:from>
    <xdr:to>
      <xdr:col>18</xdr:col>
      <xdr:colOff>327660</xdr:colOff>
      <xdr:row>21</xdr:row>
      <xdr:rowOff>114300</xdr:rowOff>
    </xdr:to>
    <xdr:grpSp>
      <xdr:nvGrpSpPr>
        <xdr:cNvPr id="4" name="Csoportba foglalás 3">
          <a:extLst>
            <a:ext uri="{FF2B5EF4-FFF2-40B4-BE49-F238E27FC236}">
              <a16:creationId xmlns:a16="http://schemas.microsoft.com/office/drawing/2014/main" id="{00000000-0008-0000-0500-000004000000}"/>
            </a:ext>
          </a:extLst>
        </xdr:cNvPr>
        <xdr:cNvGrpSpPr/>
      </xdr:nvGrpSpPr>
      <xdr:grpSpPr>
        <a:xfrm>
          <a:off x="6313170" y="3194685"/>
          <a:ext cx="281940" cy="967740"/>
          <a:chOff x="7109460" y="3078480"/>
          <a:chExt cx="228600" cy="1097280"/>
        </a:xfrm>
      </xdr:grpSpPr>
      <xdr:cxnSp macro="">
        <xdr:nvCxnSpPr>
          <xdr:cNvPr id="5" name="Egyenes összekötő nyíllal 4">
            <a:extLst>
              <a:ext uri="{FF2B5EF4-FFF2-40B4-BE49-F238E27FC236}">
                <a16:creationId xmlns:a16="http://schemas.microsoft.com/office/drawing/2014/main" id="{00000000-0008-0000-0500-000005000000}"/>
              </a:ext>
            </a:extLst>
          </xdr:cNvPr>
          <xdr:cNvCxnSpPr/>
        </xdr:nvCxnSpPr>
        <xdr:spPr>
          <a:xfrm flipH="1">
            <a:off x="7109460" y="3078480"/>
            <a:ext cx="228600" cy="0"/>
          </a:xfrm>
          <a:prstGeom prst="straightConnector1">
            <a:avLst/>
          </a:prstGeom>
          <a:ln>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xnSp macro="">
        <xdr:nvCxnSpPr>
          <xdr:cNvPr id="6" name="Egyenes összekötő 5">
            <a:extLst>
              <a:ext uri="{FF2B5EF4-FFF2-40B4-BE49-F238E27FC236}">
                <a16:creationId xmlns:a16="http://schemas.microsoft.com/office/drawing/2014/main" id="{00000000-0008-0000-0500-000006000000}"/>
              </a:ext>
            </a:extLst>
          </xdr:cNvPr>
          <xdr:cNvCxnSpPr/>
        </xdr:nvCxnSpPr>
        <xdr:spPr>
          <a:xfrm>
            <a:off x="7338060" y="3078480"/>
            <a:ext cx="0" cy="10972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Egyenes összekötő 6">
            <a:extLst>
              <a:ext uri="{FF2B5EF4-FFF2-40B4-BE49-F238E27FC236}">
                <a16:creationId xmlns:a16="http://schemas.microsoft.com/office/drawing/2014/main" id="{00000000-0008-0000-0500-000007000000}"/>
              </a:ext>
            </a:extLst>
          </xdr:cNvPr>
          <xdr:cNvCxnSpPr/>
        </xdr:nvCxnSpPr>
        <xdr:spPr>
          <a:xfrm flipH="1">
            <a:off x="7132320" y="3726055"/>
            <a:ext cx="2057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Egyenes összekötő 7">
            <a:extLst>
              <a:ext uri="{FF2B5EF4-FFF2-40B4-BE49-F238E27FC236}">
                <a16:creationId xmlns:a16="http://schemas.microsoft.com/office/drawing/2014/main" id="{00000000-0008-0000-0500-000008000000}"/>
              </a:ext>
            </a:extLst>
          </xdr:cNvPr>
          <xdr:cNvCxnSpPr/>
        </xdr:nvCxnSpPr>
        <xdr:spPr>
          <a:xfrm flipH="1">
            <a:off x="7132320" y="4175760"/>
            <a:ext cx="2057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154320</xdr:colOff>
      <xdr:row>0</xdr:row>
      <xdr:rowOff>116840</xdr:rowOff>
    </xdr:from>
    <xdr:to>
      <xdr:col>21</xdr:col>
      <xdr:colOff>480059</xdr:colOff>
      <xdr:row>1</xdr:row>
      <xdr:rowOff>91440</xdr:rowOff>
    </xdr:to>
    <xdr:pic>
      <xdr:nvPicPr>
        <xdr:cNvPr id="3" name="Kép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7960" y="116840"/>
          <a:ext cx="1194419"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304800</xdr:colOff>
      <xdr:row>0</xdr:row>
      <xdr:rowOff>72770</xdr:rowOff>
    </xdr:from>
    <xdr:to>
      <xdr:col>19</xdr:col>
      <xdr:colOff>30480</xdr:colOff>
      <xdr:row>1</xdr:row>
      <xdr:rowOff>121919</xdr:rowOff>
    </xdr:to>
    <xdr:pic>
      <xdr:nvPicPr>
        <xdr:cNvPr id="5" name="Kép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5420" y="72770"/>
          <a:ext cx="1028700" cy="27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161692</xdr:colOff>
      <xdr:row>0</xdr:row>
      <xdr:rowOff>106681</xdr:rowOff>
    </xdr:from>
    <xdr:to>
      <xdr:col>21</xdr:col>
      <xdr:colOff>457200</xdr:colOff>
      <xdr:row>1</xdr:row>
      <xdr:rowOff>60961</xdr:rowOff>
    </xdr:to>
    <xdr:pic>
      <xdr:nvPicPr>
        <xdr:cNvPr id="3" name="Kép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5332" y="106681"/>
          <a:ext cx="1164188" cy="18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169985</xdr:colOff>
      <xdr:row>0</xdr:row>
      <xdr:rowOff>91440</xdr:rowOff>
    </xdr:from>
    <xdr:to>
      <xdr:col>18</xdr:col>
      <xdr:colOff>350520</xdr:colOff>
      <xdr:row>1</xdr:row>
      <xdr:rowOff>91440</xdr:rowOff>
    </xdr:to>
    <xdr:pic>
      <xdr:nvPicPr>
        <xdr:cNvPr id="4" name="Kép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30605" y="91440"/>
          <a:ext cx="1049215" cy="228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zos/BKO/Investor's_q&amp;a/CEE_bank_&#246;sszahasonl&#237;t&#225;s/Uzbekistan_total_asse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zos/BKO/Hatter_tablak/MNB_&#225;rfolyam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_September"/>
      <sheetName val="2021_December"/>
      <sheetName val="2021_September"/>
      <sheetName val="2021_July"/>
      <sheetName val="2021_March"/>
      <sheetName val="2020_December"/>
      <sheetName val="2019_December"/>
      <sheetName val="Loan_2021_September"/>
      <sheetName val="Loan_2021_July"/>
    </sheetNames>
    <sheetDataSet>
      <sheetData sheetId="0">
        <row r="2">
          <cell r="H2" t="str">
            <v>NBU</v>
          </cell>
          <cell r="I2">
            <v>127448.024353</v>
          </cell>
          <cell r="J2">
            <v>0.23601909311208058</v>
          </cell>
        </row>
        <row r="3">
          <cell r="H3" t="str">
            <v>Uzpromstroybank</v>
          </cell>
          <cell r="I3">
            <v>60652.982124000002</v>
          </cell>
          <cell r="J3">
            <v>0.11232235186164931</v>
          </cell>
        </row>
        <row r="4">
          <cell r="H4" t="str">
            <v>Asaka bank</v>
          </cell>
          <cell r="I4">
            <v>49452.317532000001</v>
          </cell>
          <cell r="J4">
            <v>9.1580008363766702E-2</v>
          </cell>
        </row>
        <row r="5">
          <cell r="H5" t="str">
            <v>Agrobank</v>
          </cell>
          <cell r="I5">
            <v>45926.264827999999</v>
          </cell>
          <cell r="J5">
            <v>8.5050164015937152E-2</v>
          </cell>
        </row>
        <row r="6">
          <cell r="H6" t="str">
            <v>Ipoteka Bank</v>
          </cell>
          <cell r="I6">
            <v>45708.913703999999</v>
          </cell>
          <cell r="J6">
            <v>8.4647654715115941E-2</v>
          </cell>
        </row>
        <row r="7">
          <cell r="H7" t="str">
            <v>People's bank</v>
          </cell>
          <cell r="I7">
            <v>29961.226322999999</v>
          </cell>
          <cell r="J7">
            <v>5.5484747615185785E-2</v>
          </cell>
        </row>
        <row r="8">
          <cell r="H8" t="str">
            <v>Kapital bank</v>
          </cell>
          <cell r="I8">
            <v>25705.504764000001</v>
          </cell>
          <cell r="J8">
            <v>4.760364041096049E-2</v>
          </cell>
        </row>
        <row r="9">
          <cell r="H9" t="str">
            <v>Qishloq Qurilish bank</v>
          </cell>
          <cell r="I9">
            <v>24488.360983999999</v>
          </cell>
          <cell r="J9">
            <v>4.5349630020442823E-2</v>
          </cell>
        </row>
        <row r="10">
          <cell r="H10" t="str">
            <v>Hamkorbank</v>
          </cell>
          <cell r="I10">
            <v>15347.900750999999</v>
          </cell>
          <cell r="J10">
            <v>2.8422548209865384E-2</v>
          </cell>
        </row>
        <row r="11">
          <cell r="H11" t="str">
            <v>Microcreditbank</v>
          </cell>
          <cell r="I11">
            <v>15288.346581</v>
          </cell>
          <cell r="J11">
            <v>2.8312260731767562E-2</v>
          </cell>
        </row>
        <row r="12">
          <cell r="I12">
            <v>539990.31464999984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1"/>
      <sheetName val="Árfolyamok"/>
      <sheetName val="Ellenőrzés"/>
    </sheetNames>
    <sheetDataSet>
      <sheetData sheetId="0">
        <row r="6">
          <cell r="Q6">
            <v>3.5082284999999998E-2</v>
          </cell>
          <cell r="AD6">
            <v>11309.126529244033</v>
          </cell>
        </row>
        <row r="8">
          <cell r="Q8">
            <v>3.0016772999999997E-2</v>
          </cell>
          <cell r="AD8">
            <v>12293.126912743086</v>
          </cell>
        </row>
        <row r="12">
          <cell r="Q12">
            <v>2.8356102000000001E-2</v>
          </cell>
          <cell r="AD12">
            <v>12876.593545897105</v>
          </cell>
        </row>
        <row r="16">
          <cell r="Q16">
            <v>3.1051552E-2</v>
          </cell>
          <cell r="AD16">
            <v>10644.234465317546</v>
          </cell>
        </row>
        <row r="20">
          <cell r="Q20">
            <v>3.3694247999999996E-2</v>
          </cell>
          <cell r="AD20">
            <v>9541.9847328244286</v>
          </cell>
        </row>
        <row r="24">
          <cell r="Q24">
            <v>3.1887054000000005E-2</v>
          </cell>
          <cell r="AD24">
            <v>9726.2042457732205</v>
          </cell>
        </row>
        <row r="28">
          <cell r="Q28">
            <v>9.1183127000000017E-2</v>
          </cell>
          <cell r="AD28">
            <v>3410.9380784890163</v>
          </cell>
        </row>
        <row r="176">
          <cell r="Q176">
            <v>3.1159685524193553E-2</v>
          </cell>
          <cell r="AD176">
            <v>12037.175294435227</v>
          </cell>
        </row>
        <row r="179">
          <cell r="Q179">
            <v>2.8582013442687751E-2</v>
          </cell>
          <cell r="AD179">
            <v>12543.471393402171</v>
          </cell>
        </row>
        <row r="186">
          <cell r="Q186">
            <v>3.0671521353174615E-2</v>
          </cell>
          <cell r="AD186">
            <v>11449.24601578156</v>
          </cell>
        </row>
        <row r="193">
          <cell r="Q193">
            <v>3.2939520882591125E-2</v>
          </cell>
          <cell r="AD193">
            <v>9877.1485981774404</v>
          </cell>
        </row>
        <row r="200">
          <cell r="Q200">
            <v>3.3386115536885232E-2</v>
          </cell>
          <cell r="AD200">
            <v>9550.8450032712972</v>
          </cell>
        </row>
        <row r="207">
          <cell r="Q207">
            <v>6.2073429649402413E-2</v>
          </cell>
          <cell r="AD207">
            <v>4981.3885628105763</v>
          </cell>
        </row>
        <row r="214">
          <cell r="Q214">
            <v>9.5036528395256864E-2</v>
          </cell>
          <cell r="AD214">
            <v>3277.3069342601457</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tpgroup.info/static/sw/file/221212_Ipoteka_170_e.pdf" TargetMode="External"/><Relationship Id="rId2" Type="http://schemas.openxmlformats.org/officeDocument/2006/relationships/hyperlink" Target="https://cbu.uz/en/statistics/bankstats/436623/" TargetMode="External"/><Relationship Id="rId1" Type="http://schemas.openxmlformats.org/officeDocument/2006/relationships/hyperlink" Target="https://www.ipotekabank.uz/en/investors/shai_finain/"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x.bsi.si/pxweb/en/serije_ang/serije_ang__10_denar_mfi__50_izbrani_pod_bilanc/?tablelist=true&amp;rxid=052997fa-067e-4e35-b81d-e64fab6a0dfd" TargetMode="External"/><Relationship Id="rId2" Type="http://schemas.openxmlformats.org/officeDocument/2006/relationships/hyperlink" Target="https://www.bet.hu/newkibdata/128569554/210531_szloven_068_e.pdf" TargetMode="External"/><Relationship Id="rId1" Type="http://schemas.openxmlformats.org/officeDocument/2006/relationships/hyperlink" Target="https://www.nkbm.si/financial-reports-and-document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lphabank.al/eng/profile/financial-indicators/annual-report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bse.hu/newkibdata/128218471/190503_SKB_055_e.pdf" TargetMode="External"/><Relationship Id="rId2" Type="http://schemas.openxmlformats.org/officeDocument/2006/relationships/hyperlink" Target="https://apl.bsi.si/pxweb/Dialog/varval.asp?ma=FSM_BIUE&amp;ti=1%2E1%2E+The+balance+sheet+of+banks&amp;path=Database/ang/serije/02_bilance_bank/&amp;lang=1" TargetMode="External"/><Relationship Id="rId1" Type="http://schemas.openxmlformats.org/officeDocument/2006/relationships/hyperlink" Target="https://www.skb.si/sl/o-skb/medijsko-sredisce"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ocietegenerale.me/en/about-us/financial-reports" TargetMode="External"/><Relationship Id="rId1" Type="http://schemas.openxmlformats.org/officeDocument/2006/relationships/hyperlink" Target="https://www.cbcg.me/en/core-functions/supervision/balance-sheets-and-profit-and-loss-statements-of-bank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otpbank.hu/static/portal/sw/file/190206_moldova_015_e.pdf" TargetMode="External"/><Relationship Id="rId2" Type="http://schemas.openxmlformats.org/officeDocument/2006/relationships/hyperlink" Target="https://www.bnm.md/bdi/pages/reports/drsb/DRSB5.xhtml" TargetMode="External"/><Relationship Id="rId1" Type="http://schemas.openxmlformats.org/officeDocument/2006/relationships/hyperlink" Target="https://mobiasbanca.md/en/annual_reports"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otpbank.hu/portal/en/IR/Announcements/2018" TargetMode="External"/><Relationship Id="rId2" Type="http://schemas.openxmlformats.org/officeDocument/2006/relationships/hyperlink" Target="https://www.societegenerale.rs/en/about-us/annual-reports/" TargetMode="External"/><Relationship Id="rId1" Type="http://schemas.openxmlformats.org/officeDocument/2006/relationships/hyperlink" Target="https://www.nbs.rs/internet/english/50/50_5.html"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otpbank.hu/portal/en/IR/Announcements/2018" TargetMode="External"/><Relationship Id="rId2" Type="http://schemas.openxmlformats.org/officeDocument/2006/relationships/hyperlink" Target="http://www.bnb.bg/BankSupervision/BSCreditInstitution/BSCIFinansReports/BSCIFRForeignBanks/BS_Q_201803_EN" TargetMode="External"/><Relationship Id="rId1" Type="http://schemas.openxmlformats.org/officeDocument/2006/relationships/hyperlink" Target="http://www.sgeb.bg/en/about-us/key-figures.html"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otpbank.hu/portal/en/IR/Announcements/2018" TargetMode="External"/><Relationship Id="rId2" Type="http://schemas.openxmlformats.org/officeDocument/2006/relationships/hyperlink" Target="https://www.societegenerale.al/en/publications/" TargetMode="External"/><Relationship Id="rId1" Type="http://schemas.openxmlformats.org/officeDocument/2006/relationships/hyperlink" Target="https://aab.al/en/rreth-nesh/statistika/te-dhena/"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843A7-2D2A-47FE-8C24-16F174FE7675}">
  <sheetPr>
    <pageSetUpPr fitToPage="1"/>
  </sheetPr>
  <dimension ref="A1:AJ77"/>
  <sheetViews>
    <sheetView view="pageBreakPreview" zoomScaleNormal="100" zoomScaleSheetLayoutView="100" workbookViewId="0">
      <pane ySplit="2" topLeftCell="A42" activePane="bottomLeft" state="frozen"/>
      <selection activeCell="V23" sqref="V23"/>
      <selection pane="bottomLeft" activeCell="A2" sqref="A2"/>
    </sheetView>
  </sheetViews>
  <sheetFormatPr defaultRowHeight="15" x14ac:dyDescent="0.25"/>
  <cols>
    <col min="1" max="1" width="5.42578125" customWidth="1"/>
    <col min="2" max="2" width="4.42578125" customWidth="1"/>
    <col min="3" max="3" width="3.42578125" customWidth="1"/>
    <col min="4" max="9" width="4.42578125" customWidth="1"/>
    <col min="10" max="10" width="5.42578125" customWidth="1"/>
    <col min="11" max="11" width="4.42578125" customWidth="1"/>
    <col min="12" max="18" width="8.140625" customWidth="1"/>
    <col min="19" max="19" width="3.140625" customWidth="1"/>
    <col min="20" max="25" width="6.7109375" customWidth="1"/>
    <col min="26" max="26" width="7.7109375" bestFit="1" customWidth="1"/>
    <col min="27" max="27" width="3.140625" customWidth="1"/>
    <col min="28" max="33" width="6.7109375" customWidth="1"/>
    <col min="34" max="34" width="7.7109375" bestFit="1" customWidth="1"/>
  </cols>
  <sheetData>
    <row r="1" spans="1:27" ht="18.75" x14ac:dyDescent="0.3">
      <c r="A1" s="41" t="s">
        <v>248</v>
      </c>
    </row>
    <row r="3" spans="1:27" x14ac:dyDescent="0.25">
      <c r="A3" t="s">
        <v>249</v>
      </c>
      <c r="K3" s="153" t="s">
        <v>250</v>
      </c>
    </row>
    <row r="4" spans="1:27" x14ac:dyDescent="0.25">
      <c r="A4" t="s">
        <v>251</v>
      </c>
      <c r="K4" t="s">
        <v>252</v>
      </c>
    </row>
    <row r="5" spans="1:27" x14ac:dyDescent="0.25">
      <c r="A5" t="s">
        <v>1</v>
      </c>
      <c r="K5" s="12" t="s">
        <v>93</v>
      </c>
    </row>
    <row r="6" spans="1:27" x14ac:dyDescent="0.25">
      <c r="A6" t="s">
        <v>4</v>
      </c>
      <c r="K6" t="s">
        <v>253</v>
      </c>
    </row>
    <row r="7" spans="1:27" x14ac:dyDescent="0.25">
      <c r="A7" t="s">
        <v>84</v>
      </c>
      <c r="K7" s="152" t="s">
        <v>194</v>
      </c>
      <c r="M7" s="4"/>
      <c r="N7" s="4"/>
      <c r="O7" s="4"/>
      <c r="P7" s="4"/>
      <c r="S7" s="4"/>
      <c r="T7" s="4"/>
      <c r="U7" s="4"/>
      <c r="V7" s="4"/>
    </row>
    <row r="8" spans="1:27" x14ac:dyDescent="0.25">
      <c r="A8" t="s">
        <v>280</v>
      </c>
      <c r="K8" t="s">
        <v>254</v>
      </c>
      <c r="T8" s="3"/>
      <c r="U8" s="3"/>
      <c r="V8" s="3"/>
      <c r="W8" s="3"/>
      <c r="X8" s="3"/>
      <c r="Y8" s="3"/>
      <c r="Z8" s="3"/>
      <c r="AA8" s="3"/>
    </row>
    <row r="10" spans="1:27" x14ac:dyDescent="0.25">
      <c r="A10" t="s">
        <v>88</v>
      </c>
      <c r="K10" s="173" t="s">
        <v>281</v>
      </c>
      <c r="P10" s="3"/>
      <c r="T10" s="3"/>
      <c r="U10" s="3"/>
      <c r="V10" s="3"/>
      <c r="W10" s="3"/>
      <c r="X10" s="3"/>
      <c r="Y10" s="3"/>
      <c r="Z10" s="3"/>
      <c r="AA10" s="3"/>
    </row>
    <row r="11" spans="1:27" x14ac:dyDescent="0.25">
      <c r="T11" s="154"/>
      <c r="U11" s="154"/>
      <c r="V11" s="154"/>
      <c r="W11" s="154"/>
      <c r="X11" s="154"/>
      <c r="Y11" s="154"/>
      <c r="Z11" s="154"/>
      <c r="AA11" s="155"/>
    </row>
    <row r="12" spans="1:27" x14ac:dyDescent="0.25">
      <c r="A12" s="43" t="s">
        <v>255</v>
      </c>
      <c r="T12" s="154"/>
      <c r="U12" s="154"/>
      <c r="V12" s="154"/>
      <c r="W12" s="154"/>
      <c r="X12" s="154"/>
      <c r="Y12" s="154"/>
      <c r="Z12" s="154"/>
      <c r="AA12" s="155"/>
    </row>
    <row r="13" spans="1:27" x14ac:dyDescent="0.25">
      <c r="A13" t="s">
        <v>256</v>
      </c>
      <c r="J13" s="92" t="s">
        <v>257</v>
      </c>
      <c r="K13" s="56"/>
    </row>
    <row r="14" spans="1:27" x14ac:dyDescent="0.25">
      <c r="L14" s="46"/>
    </row>
    <row r="15" spans="1:27" ht="15" customHeight="1" x14ac:dyDescent="0.25">
      <c r="A15" s="2"/>
      <c r="B15" s="150" t="s">
        <v>48</v>
      </c>
      <c r="C15" s="176" t="s">
        <v>30</v>
      </c>
      <c r="D15" s="176"/>
      <c r="E15" s="176"/>
      <c r="F15" s="150"/>
      <c r="G15" s="150"/>
      <c r="H15" s="150"/>
      <c r="I15" s="150"/>
      <c r="J15" s="150"/>
      <c r="K15" s="150"/>
      <c r="L15" s="9"/>
      <c r="M15" s="14" t="s">
        <v>12</v>
      </c>
      <c r="P15" s="156" t="s">
        <v>45</v>
      </c>
    </row>
    <row r="16" spans="1:27" x14ac:dyDescent="0.25">
      <c r="A16" s="2"/>
      <c r="B16" s="151">
        <v>1</v>
      </c>
      <c r="C16" t="s">
        <v>258</v>
      </c>
      <c r="M16" s="7">
        <f>+VLOOKUP($C16,'[1]2022_September'!$H$2:$I$12,2,0)</f>
        <v>127448.024353</v>
      </c>
      <c r="N16" s="7"/>
      <c r="O16" s="7"/>
      <c r="P16" s="22">
        <f>+VLOOKUP($C16,'[1]2022_September'!$H$2:$J$11,3,0)</f>
        <v>0.23601909311208058</v>
      </c>
    </row>
    <row r="17" spans="1:35" x14ac:dyDescent="0.25">
      <c r="A17" s="2"/>
      <c r="B17" s="151">
        <v>2</v>
      </c>
      <c r="C17" t="s">
        <v>259</v>
      </c>
      <c r="M17" s="7">
        <f>+VLOOKUP($C17,'[1]2022_September'!$H$2:$I$12,2,0)</f>
        <v>60652.982124000002</v>
      </c>
      <c r="P17" s="22">
        <f>+VLOOKUP($C17,'[1]2022_September'!$H$2:$J$11,3,0)</f>
        <v>0.11232235186164931</v>
      </c>
      <c r="W17" s="3"/>
    </row>
    <row r="18" spans="1:35" x14ac:dyDescent="0.25">
      <c r="A18" s="2"/>
      <c r="B18" s="151">
        <v>3</v>
      </c>
      <c r="C18" t="s">
        <v>260</v>
      </c>
      <c r="M18" s="7">
        <f>+VLOOKUP($C18,'[1]2022_September'!$H$2:$I$12,2,0)</f>
        <v>49452.317532000001</v>
      </c>
      <c r="N18" s="7"/>
      <c r="O18" s="7"/>
      <c r="P18" s="22">
        <f>+VLOOKUP($C18,'[1]2022_September'!$H$2:$J$11,3,0)</f>
        <v>9.1580008363766702E-2</v>
      </c>
    </row>
    <row r="19" spans="1:35" x14ac:dyDescent="0.25">
      <c r="A19" s="2"/>
      <c r="B19" s="151">
        <v>4</v>
      </c>
      <c r="C19" t="s">
        <v>261</v>
      </c>
      <c r="M19" s="7">
        <f>+VLOOKUP($C19,'[1]2022_September'!$H$2:$I$12,2,0)</f>
        <v>45926.264827999999</v>
      </c>
      <c r="N19" s="7"/>
      <c r="O19" s="7"/>
      <c r="P19" s="22">
        <f>+VLOOKUP($C19,'[1]2022_September'!$H$2:$J$11,3,0)</f>
        <v>8.5050164015937152E-2</v>
      </c>
    </row>
    <row r="20" spans="1:35" x14ac:dyDescent="0.25">
      <c r="A20" s="2"/>
      <c r="B20" s="157">
        <v>5</v>
      </c>
      <c r="C20" s="158" t="s">
        <v>252</v>
      </c>
      <c r="D20" s="158"/>
      <c r="E20" s="158"/>
      <c r="F20" s="158"/>
      <c r="G20" s="158"/>
      <c r="H20" s="158"/>
      <c r="I20" s="158"/>
      <c r="J20" s="158"/>
      <c r="K20" s="158"/>
      <c r="L20" s="158"/>
      <c r="M20" s="20">
        <f>+VLOOKUP($C20,'[1]2022_September'!$H$2:$I$12,2,0)</f>
        <v>45708.913703999999</v>
      </c>
      <c r="N20" s="158"/>
      <c r="O20" s="158"/>
      <c r="P20" s="159">
        <f>+VLOOKUP($C20,'[1]2022_September'!$H$2:$J$11,3,0)</f>
        <v>8.4647654715115941E-2</v>
      </c>
    </row>
    <row r="21" spans="1:35" x14ac:dyDescent="0.25">
      <c r="A21" s="2"/>
      <c r="B21" s="151">
        <v>6</v>
      </c>
      <c r="C21" t="s">
        <v>262</v>
      </c>
      <c r="M21" s="7">
        <f>+VLOOKUP($C21,'[1]2022_September'!$H$2:$I$12,2,0)</f>
        <v>29961.226322999999</v>
      </c>
      <c r="P21" s="22">
        <f>+VLOOKUP($C21,'[1]2022_September'!$H$2:$J$11,3,0)</f>
        <v>5.5484747615185785E-2</v>
      </c>
    </row>
    <row r="22" spans="1:35" x14ac:dyDescent="0.25">
      <c r="A22" s="2"/>
      <c r="B22" s="151">
        <v>7</v>
      </c>
      <c r="C22" t="s">
        <v>263</v>
      </c>
      <c r="M22" s="7">
        <f>+VLOOKUP($C22,'[1]2022_September'!$H$2:$I$12,2,0)</f>
        <v>25705.504764000001</v>
      </c>
      <c r="P22" s="22">
        <f>+VLOOKUP($C22,'[1]2022_September'!$H$2:$J$11,3,0)</f>
        <v>4.760364041096049E-2</v>
      </c>
    </row>
    <row r="23" spans="1:35" x14ac:dyDescent="0.25">
      <c r="A23" s="2"/>
      <c r="B23" s="151">
        <v>8</v>
      </c>
      <c r="C23" t="s">
        <v>264</v>
      </c>
      <c r="M23" s="7">
        <f>+VLOOKUP($C23,'[1]2022_September'!$H$2:$I$12,2,0)</f>
        <v>24488.360983999999</v>
      </c>
      <c r="N23" s="7"/>
      <c r="O23" s="7"/>
      <c r="P23" s="22">
        <f>+VLOOKUP($C23,'[1]2022_September'!$H$2:$J$11,3,0)</f>
        <v>4.5349630020442823E-2</v>
      </c>
    </row>
    <row r="24" spans="1:35" x14ac:dyDescent="0.25">
      <c r="A24" s="2"/>
      <c r="B24" s="151">
        <v>9</v>
      </c>
      <c r="C24" t="s">
        <v>265</v>
      </c>
      <c r="M24" s="7">
        <f>+VLOOKUP($C24,'[1]2022_September'!$H$2:$I$12,2,0)</f>
        <v>15347.900750999999</v>
      </c>
      <c r="N24" s="7"/>
      <c r="O24" s="7"/>
      <c r="P24" s="22">
        <f>+VLOOKUP($C24,'[1]2022_September'!$H$2:$J$11,3,0)</f>
        <v>2.8422548209865384E-2</v>
      </c>
    </row>
    <row r="25" spans="1:35" x14ac:dyDescent="0.25">
      <c r="A25" s="2"/>
      <c r="B25" s="151">
        <v>10</v>
      </c>
      <c r="C25" t="s">
        <v>266</v>
      </c>
      <c r="M25" s="7">
        <f>+VLOOKUP($C25,'[1]2022_September'!$H$2:$I$12,2,0)</f>
        <v>15288.346581</v>
      </c>
      <c r="N25" s="7"/>
      <c r="O25" s="7"/>
      <c r="P25" s="22">
        <f>+VLOOKUP($C25,'[1]2022_September'!$H$2:$J$11,3,0)</f>
        <v>2.8312260731767562E-2</v>
      </c>
    </row>
    <row r="27" spans="1:35" x14ac:dyDescent="0.25">
      <c r="A27" s="2" t="s">
        <v>267</v>
      </c>
    </row>
    <row r="28" spans="1:35" x14ac:dyDescent="0.25">
      <c r="A28" s="24" t="s">
        <v>268</v>
      </c>
      <c r="J28" s="56" t="s">
        <v>269</v>
      </c>
      <c r="K28" s="56"/>
    </row>
    <row r="29" spans="1:35" x14ac:dyDescent="0.25">
      <c r="L29" s="5"/>
    </row>
    <row r="30" spans="1:35" x14ac:dyDescent="0.25">
      <c r="L30" s="177" t="s">
        <v>270</v>
      </c>
      <c r="M30" s="177"/>
      <c r="N30" s="177"/>
      <c r="O30" s="177"/>
      <c r="P30" s="177"/>
      <c r="Q30" s="177"/>
      <c r="R30" s="177"/>
      <c r="T30" s="177" t="s">
        <v>47</v>
      </c>
      <c r="U30" s="177"/>
      <c r="V30" s="177"/>
      <c r="W30" s="177"/>
      <c r="X30" s="177"/>
      <c r="Y30" s="177"/>
      <c r="Z30" s="177"/>
      <c r="AB30" s="177" t="s">
        <v>102</v>
      </c>
      <c r="AC30" s="177"/>
      <c r="AD30" s="177"/>
      <c r="AE30" s="177"/>
      <c r="AF30" s="177"/>
      <c r="AG30" s="177"/>
      <c r="AH30" s="177"/>
    </row>
    <row r="31" spans="1:35" x14ac:dyDescent="0.25">
      <c r="B31" s="30" t="s">
        <v>81</v>
      </c>
      <c r="C31" s="27"/>
      <c r="D31" s="27"/>
      <c r="E31" s="27"/>
      <c r="F31" s="27"/>
      <c r="G31" s="27"/>
      <c r="H31" s="27"/>
      <c r="I31" s="27"/>
      <c r="J31" s="27"/>
      <c r="K31" s="27"/>
      <c r="L31" s="53">
        <v>2016</v>
      </c>
      <c r="M31" s="53">
        <v>2017</v>
      </c>
      <c r="N31" s="53">
        <v>2018</v>
      </c>
      <c r="O31" s="53">
        <v>2019</v>
      </c>
      <c r="P31" s="53">
        <v>2020</v>
      </c>
      <c r="Q31" s="53">
        <v>2021</v>
      </c>
      <c r="R31" s="53" t="s">
        <v>271</v>
      </c>
      <c r="T31" s="53">
        <f>L31</f>
        <v>2016</v>
      </c>
      <c r="U31" s="53">
        <f t="shared" ref="U31:Y31" si="0">M31</f>
        <v>2017</v>
      </c>
      <c r="V31" s="53">
        <f t="shared" si="0"/>
        <v>2018</v>
      </c>
      <c r="W31" s="53">
        <f t="shared" si="0"/>
        <v>2019</v>
      </c>
      <c r="X31" s="53">
        <f t="shared" si="0"/>
        <v>2020</v>
      </c>
      <c r="Y31" s="53">
        <f t="shared" si="0"/>
        <v>2021</v>
      </c>
      <c r="Z31" s="53" t="s">
        <v>271</v>
      </c>
      <c r="AB31" s="53">
        <f>L31</f>
        <v>2016</v>
      </c>
      <c r="AC31" s="53">
        <f t="shared" ref="AC31:AG31" si="1">M31</f>
        <v>2017</v>
      </c>
      <c r="AD31" s="53">
        <f t="shared" si="1"/>
        <v>2018</v>
      </c>
      <c r="AE31" s="53">
        <f t="shared" si="1"/>
        <v>2019</v>
      </c>
      <c r="AF31" s="53">
        <f t="shared" si="1"/>
        <v>2020</v>
      </c>
      <c r="AG31" s="53">
        <f t="shared" si="1"/>
        <v>2021</v>
      </c>
      <c r="AH31" s="53" t="s">
        <v>271</v>
      </c>
    </row>
    <row r="32" spans="1:35" x14ac:dyDescent="0.25">
      <c r="C32" t="s">
        <v>12</v>
      </c>
      <c r="L32" s="7">
        <v>5747.7676899999997</v>
      </c>
      <c r="M32" s="7">
        <v>13383.649455000001</v>
      </c>
      <c r="N32" s="7">
        <v>19831.349999999999</v>
      </c>
      <c r="O32" s="7">
        <v>23844.977999999999</v>
      </c>
      <c r="P32" s="7">
        <v>32604.079000000002</v>
      </c>
      <c r="Q32" s="7">
        <v>40164.315999999999</v>
      </c>
      <c r="R32" s="7">
        <v>39167.228999999999</v>
      </c>
      <c r="T32" s="7">
        <f t="shared" ref="T32:Z42" si="2">(L32/L$43)*1000</f>
        <v>1685.0988079344309</v>
      </c>
      <c r="U32" s="7">
        <f t="shared" si="2"/>
        <v>1376.0403459362083</v>
      </c>
      <c r="V32" s="7">
        <f t="shared" si="2"/>
        <v>2078.3254799999995</v>
      </c>
      <c r="W32" s="7">
        <f t="shared" si="2"/>
        <v>2240.177823750018</v>
      </c>
      <c r="X32" s="7">
        <f t="shared" si="2"/>
        <v>2532.0422582095634</v>
      </c>
      <c r="Y32" s="7">
        <f t="shared" si="2"/>
        <v>3267.2172251280972</v>
      </c>
      <c r="Z32" s="7">
        <f t="shared" si="2"/>
        <v>3463.3292764669563</v>
      </c>
      <c r="AB32" s="7">
        <f t="shared" ref="AB32:AH42" si="3">+(L32*L$44)</f>
        <v>524.09943124376673</v>
      </c>
      <c r="AC32" s="7">
        <f t="shared" si="3"/>
        <v>426.76515288865568</v>
      </c>
      <c r="AD32" s="7">
        <f t="shared" si="3"/>
        <v>668.20242507479986</v>
      </c>
      <c r="AE32" s="7">
        <f t="shared" si="3"/>
        <v>740.42357430585594</v>
      </c>
      <c r="AF32" s="7">
        <f t="shared" si="3"/>
        <v>924.5245897400581</v>
      </c>
      <c r="AG32" s="7">
        <f t="shared" si="3"/>
        <v>1205.6031560722679</v>
      </c>
      <c r="AH32" s="7">
        <f t="shared" si="3"/>
        <v>1374.0758904382649</v>
      </c>
      <c r="AI32" s="83"/>
    </row>
    <row r="33" spans="2:36" x14ac:dyDescent="0.25">
      <c r="C33" t="s">
        <v>13</v>
      </c>
      <c r="L33" s="160">
        <f>(531431619+449519825+5289143+729234)/1000000</f>
        <v>986.96982100000002</v>
      </c>
      <c r="M33" s="160">
        <f>(1374091+1249251+17515)/1000</f>
        <v>2640.857</v>
      </c>
      <c r="N33" s="160">
        <f>(1315362+508224+154610+1211)/1000</f>
        <v>1979.4069999999999</v>
      </c>
      <c r="O33" s="7">
        <f>(2630173+845018+131149+5210)/1000</f>
        <v>3611.55</v>
      </c>
      <c r="P33" s="7">
        <f>(5147641+1810524+776819+14625)/1000</f>
        <v>7749.6090000000004</v>
      </c>
      <c r="Q33" s="7">
        <f>(7229674+2031514+1095081+21385)/1000</f>
        <v>10377.654</v>
      </c>
      <c r="R33" s="161">
        <f>(3403374+1808062+3483752+2179+28292)/1000</f>
        <v>8725.6589999999997</v>
      </c>
      <c r="T33" s="160">
        <f t="shared" si="2"/>
        <v>289.35436477850391</v>
      </c>
      <c r="U33" s="160">
        <f t="shared" si="2"/>
        <v>271.51979675397564</v>
      </c>
      <c r="V33" s="160">
        <f t="shared" si="2"/>
        <v>207.44185359999997</v>
      </c>
      <c r="W33" s="160">
        <f t="shared" si="2"/>
        <v>339.29635914800929</v>
      </c>
      <c r="X33" s="160">
        <f t="shared" si="2"/>
        <v>601.8368889549422</v>
      </c>
      <c r="Y33" s="160">
        <f t="shared" si="2"/>
        <v>844.18342653263414</v>
      </c>
      <c r="Z33" s="160">
        <f t="shared" si="2"/>
        <v>771.55905696487719</v>
      </c>
      <c r="AB33" s="160">
        <f t="shared" si="3"/>
        <v>89.994994533410292</v>
      </c>
      <c r="AC33" s="160">
        <f t="shared" si="3"/>
        <v>84.209149765278013</v>
      </c>
      <c r="AD33" s="160">
        <f t="shared" si="3"/>
        <v>66.694630350935995</v>
      </c>
      <c r="AE33" s="160">
        <f t="shared" si="3"/>
        <v>112.1442326256</v>
      </c>
      <c r="AF33" s="160">
        <f t="shared" si="3"/>
        <v>219.74870326411801</v>
      </c>
      <c r="AG33" s="160">
        <f t="shared" si="3"/>
        <v>311.50368439054199</v>
      </c>
      <c r="AH33" s="160">
        <f t="shared" si="3"/>
        <v>306.11605585081497</v>
      </c>
    </row>
    <row r="34" spans="2:36" x14ac:dyDescent="0.25">
      <c r="C34" s="27" t="s">
        <v>205</v>
      </c>
      <c r="D34" s="27"/>
      <c r="E34" s="27"/>
      <c r="F34" s="27"/>
      <c r="G34" s="27"/>
      <c r="H34" s="27"/>
      <c r="I34" s="27"/>
      <c r="J34" s="27"/>
      <c r="K34" s="27"/>
      <c r="L34" s="162">
        <v>4685.4118740000004</v>
      </c>
      <c r="M34" s="162">
        <v>10668.985532000001</v>
      </c>
      <c r="N34" s="71">
        <v>17866.882208999999</v>
      </c>
      <c r="O34" s="71">
        <v>20381.741999999998</v>
      </c>
      <c r="P34" s="71">
        <v>25549.200000000001</v>
      </c>
      <c r="Q34" s="71">
        <v>30990.737000000001</v>
      </c>
      <c r="R34" s="71">
        <f>R35+R36</f>
        <v>31656.68</v>
      </c>
      <c r="T34" s="71">
        <f t="shared" si="2"/>
        <v>1373.6431932166747</v>
      </c>
      <c r="U34" s="71">
        <f t="shared" si="2"/>
        <v>1096.9320880379919</v>
      </c>
      <c r="V34" s="71">
        <f t="shared" si="2"/>
        <v>1872.4492555031998</v>
      </c>
      <c r="W34" s="71">
        <f t="shared" si="2"/>
        <v>1914.8152050211302</v>
      </c>
      <c r="X34" s="71">
        <f t="shared" si="2"/>
        <v>1984.1583031205325</v>
      </c>
      <c r="Y34" s="71">
        <f t="shared" si="2"/>
        <v>2520.9808065899756</v>
      </c>
      <c r="Z34" s="71">
        <f t="shared" si="2"/>
        <v>2799.2152990896029</v>
      </c>
      <c r="AB34" s="71">
        <f t="shared" si="3"/>
        <v>427.23050595425013</v>
      </c>
      <c r="AC34" s="71">
        <f t="shared" si="3"/>
        <v>340.20251778410278</v>
      </c>
      <c r="AD34" s="71">
        <f t="shared" si="3"/>
        <v>602.01116013683372</v>
      </c>
      <c r="AE34" s="71">
        <f t="shared" si="3"/>
        <v>632.88472156358398</v>
      </c>
      <c r="AF34" s="71">
        <f t="shared" si="3"/>
        <v>724.47572121840005</v>
      </c>
      <c r="AG34" s="71">
        <f t="shared" si="3"/>
        <v>930.24191763170097</v>
      </c>
      <c r="AH34" s="71">
        <f t="shared" si="3"/>
        <v>1110.5886699138</v>
      </c>
      <c r="AI34" s="7"/>
      <c r="AJ34" s="7"/>
    </row>
    <row r="35" spans="2:36" x14ac:dyDescent="0.25">
      <c r="D35" t="s">
        <v>272</v>
      </c>
      <c r="L35" s="7">
        <f>(1148673157+81100485)/1000000</f>
        <v>1229.7736420000001</v>
      </c>
      <c r="M35" s="7">
        <f>(1444047503+227317441)/1000000</f>
        <v>1671.3649439999999</v>
      </c>
      <c r="N35" s="7">
        <f>(2748458019+565852740)/1000000</f>
        <v>3314.310759</v>
      </c>
      <c r="O35" s="7">
        <f>(5169389+822510)/1000</f>
        <v>5991.8990000000003</v>
      </c>
      <c r="P35" s="7">
        <f>(8594579+1730363)/1000</f>
        <v>10324.941999999999</v>
      </c>
      <c r="Q35" s="7">
        <f>(11101048+3023464)/1000</f>
        <v>14124.512000000001</v>
      </c>
      <c r="R35" s="7">
        <v>14611.842000000001</v>
      </c>
      <c r="T35" s="7">
        <f t="shared" si="2"/>
        <v>360.53824892205824</v>
      </c>
      <c r="U35" s="7">
        <f t="shared" si="2"/>
        <v>171.8414400691139</v>
      </c>
      <c r="V35" s="7">
        <f t="shared" si="2"/>
        <v>347.33976754319997</v>
      </c>
      <c r="W35" s="7">
        <f t="shared" si="2"/>
        <v>562.92437182998924</v>
      </c>
      <c r="X35" s="7">
        <f t="shared" si="2"/>
        <v>801.83799878422474</v>
      </c>
      <c r="Y35" s="7">
        <f t="shared" si="2"/>
        <v>1148.9763426552195</v>
      </c>
      <c r="Z35" s="7">
        <f t="shared" si="2"/>
        <v>1292.0398372248771</v>
      </c>
      <c r="AB35" s="7">
        <f t="shared" si="3"/>
        <v>112.13460617973857</v>
      </c>
      <c r="AC35" s="7">
        <f t="shared" si="3"/>
        <v>53.294904223034983</v>
      </c>
      <c r="AD35" s="7">
        <f t="shared" si="3"/>
        <v>111.67320866281422</v>
      </c>
      <c r="AE35" s="7">
        <f t="shared" si="3"/>
        <v>186.05776337724799</v>
      </c>
      <c r="AF35" s="7">
        <f t="shared" si="3"/>
        <v>292.77510849608399</v>
      </c>
      <c r="AG35" s="7">
        <f t="shared" si="3"/>
        <v>423.97227043977597</v>
      </c>
      <c r="AH35" s="7">
        <f t="shared" si="3"/>
        <v>512.61680541896999</v>
      </c>
    </row>
    <row r="36" spans="2:36" x14ac:dyDescent="0.25">
      <c r="D36" t="s">
        <v>273</v>
      </c>
      <c r="L36" s="7">
        <f>(2795965588+659672644)/1000000</f>
        <v>3455.6382319999998</v>
      </c>
      <c r="M36" s="7">
        <f>(7942538147+1055082441)/1000000</f>
        <v>8997.6205879999998</v>
      </c>
      <c r="N36" s="7">
        <f>(2164.264165+12388.307285)</f>
        <v>14552.571450000001</v>
      </c>
      <c r="O36" s="7">
        <f>(7998400+6391443)/1000</f>
        <v>14389.843000000001</v>
      </c>
      <c r="P36" s="7">
        <f>(9487960+5736298)/1000</f>
        <v>15224.258</v>
      </c>
      <c r="Q36" s="7">
        <f>(8838756+8027469)/1000</f>
        <v>16866.224999999999</v>
      </c>
      <c r="R36" s="7">
        <v>17044.838</v>
      </c>
      <c r="T36" s="7">
        <f t="shared" si="2"/>
        <v>1013.1049442946161</v>
      </c>
      <c r="U36" s="7">
        <f t="shared" si="2"/>
        <v>925.09064796887787</v>
      </c>
      <c r="V36" s="7">
        <f t="shared" si="2"/>
        <v>1525.10948796</v>
      </c>
      <c r="W36" s="7">
        <f t="shared" si="2"/>
        <v>1351.8908331911414</v>
      </c>
      <c r="X36" s="7">
        <f t="shared" si="2"/>
        <v>1182.3203043363076</v>
      </c>
      <c r="Y36" s="7">
        <f t="shared" si="2"/>
        <v>1372.0044639347559</v>
      </c>
      <c r="Z36" s="7">
        <f t="shared" si="2"/>
        <v>1507.175461864726</v>
      </c>
      <c r="AB36" s="7">
        <f t="shared" si="3"/>
        <v>315.09589977451151</v>
      </c>
      <c r="AC36" s="7">
        <f t="shared" si="3"/>
        <v>286.90761356106776</v>
      </c>
      <c r="AD36" s="7">
        <f t="shared" si="3"/>
        <v>490.33795147401958</v>
      </c>
      <c r="AE36" s="7">
        <f t="shared" si="3"/>
        <v>446.82695818633601</v>
      </c>
      <c r="AF36" s="7">
        <f t="shared" si="3"/>
        <v>431.70061272231601</v>
      </c>
      <c r="AG36" s="7">
        <f t="shared" si="3"/>
        <v>506.26964719192489</v>
      </c>
      <c r="AH36" s="7">
        <f t="shared" si="3"/>
        <v>597.9718644948299</v>
      </c>
    </row>
    <row r="37" spans="2:36" x14ac:dyDescent="0.25">
      <c r="C37" t="s">
        <v>207</v>
      </c>
      <c r="L37" s="7">
        <v>-48.103734000000003</v>
      </c>
      <c r="M37" s="7">
        <f>-(105805532/1000000)</f>
        <v>-105.805532</v>
      </c>
      <c r="N37" s="7">
        <v>-268.67013100000003</v>
      </c>
      <c r="O37" s="7">
        <v>-541.98599999999999</v>
      </c>
      <c r="P37" s="7">
        <v>-1203.979</v>
      </c>
      <c r="Q37" s="7">
        <v>-1727.511</v>
      </c>
      <c r="R37" s="7">
        <v>-1898.873</v>
      </c>
      <c r="T37" s="7">
        <f t="shared" si="2"/>
        <v>-14.10278723714301</v>
      </c>
      <c r="U37" s="7">
        <f t="shared" si="2"/>
        <v>-10.878399150005572</v>
      </c>
      <c r="V37" s="7">
        <f t="shared" si="2"/>
        <v>-28.156629728799999</v>
      </c>
      <c r="W37" s="7">
        <f t="shared" si="2"/>
        <v>-50.918269582088833</v>
      </c>
      <c r="X37" s="7">
        <f t="shared" si="2"/>
        <v>-93.501359323687453</v>
      </c>
      <c r="Y37" s="7">
        <f t="shared" si="2"/>
        <v>-140.52657328456098</v>
      </c>
      <c r="Z37" s="7">
        <f t="shared" si="2"/>
        <v>-167.90624767436674</v>
      </c>
      <c r="AB37" s="7">
        <f t="shared" si="3"/>
        <v>-4.3862488864962188</v>
      </c>
      <c r="AC37" s="7">
        <f t="shared" si="3"/>
        <v>-3.3738267123827286</v>
      </c>
      <c r="AD37" s="7">
        <f t="shared" si="3"/>
        <v>-9.0526380241064874</v>
      </c>
      <c r="AE37" s="7">
        <f t="shared" si="3"/>
        <v>-16.829506462272001</v>
      </c>
      <c r="AF37" s="7">
        <f t="shared" si="3"/>
        <v>-34.140151329858</v>
      </c>
      <c r="AG37" s="7">
        <f t="shared" si="3"/>
        <v>-51.85430554200299</v>
      </c>
      <c r="AH37" s="7">
        <f t="shared" si="3"/>
        <v>-66.616803764804999</v>
      </c>
    </row>
    <row r="38" spans="2:36" x14ac:dyDescent="0.25">
      <c r="C38" s="27" t="s">
        <v>17</v>
      </c>
      <c r="D38" s="27"/>
      <c r="E38" s="27"/>
      <c r="F38" s="27"/>
      <c r="G38" s="27"/>
      <c r="H38" s="27"/>
      <c r="I38" s="27"/>
      <c r="J38" s="27"/>
      <c r="K38" s="27"/>
      <c r="L38" s="71">
        <v>3050.058055</v>
      </c>
      <c r="M38" s="71">
        <v>5648.4332039999999</v>
      </c>
      <c r="N38" s="71">
        <v>7090.6859999999997</v>
      </c>
      <c r="O38" s="71">
        <v>7935.7190000000001</v>
      </c>
      <c r="P38" s="71">
        <v>9211.107</v>
      </c>
      <c r="Q38" s="71">
        <v>13632.275</v>
      </c>
      <c r="R38" s="71">
        <f>SUM(R39:R41)</f>
        <v>10812.753000000001</v>
      </c>
      <c r="T38" s="71">
        <f t="shared" si="2"/>
        <v>894.19918650388411</v>
      </c>
      <c r="U38" s="71">
        <f t="shared" si="2"/>
        <v>580.74384017327998</v>
      </c>
      <c r="V38" s="71">
        <f t="shared" si="2"/>
        <v>743.10389279999993</v>
      </c>
      <c r="W38" s="71">
        <f t="shared" si="2"/>
        <v>745.54154419063298</v>
      </c>
      <c r="X38" s="71">
        <f t="shared" si="2"/>
        <v>715.33724871939853</v>
      </c>
      <c r="Y38" s="71">
        <f t="shared" si="2"/>
        <v>1108.9346995896342</v>
      </c>
      <c r="Z38" s="71">
        <f t="shared" si="2"/>
        <v>956.10858823088847</v>
      </c>
      <c r="AB38" s="71">
        <f t="shared" si="3"/>
        <v>278.11383098643802</v>
      </c>
      <c r="AC38" s="71">
        <f t="shared" si="3"/>
        <v>180.11189459134104</v>
      </c>
      <c r="AD38" s="71">
        <f t="shared" si="3"/>
        <v>238.91533257412797</v>
      </c>
      <c r="AE38" s="71">
        <f t="shared" si="3"/>
        <v>246.41639118588799</v>
      </c>
      <c r="AF38" s="71">
        <f t="shared" si="3"/>
        <v>261.19108962491401</v>
      </c>
      <c r="AG38" s="71">
        <f t="shared" si="3"/>
        <v>409.19690414857496</v>
      </c>
      <c r="AH38" s="71">
        <f t="shared" si="3"/>
        <v>379.33608238060498</v>
      </c>
    </row>
    <row r="39" spans="2:36" x14ac:dyDescent="0.25">
      <c r="C39" s="72"/>
      <c r="D39" s="72" t="s">
        <v>15</v>
      </c>
      <c r="E39" s="72"/>
      <c r="F39" s="72"/>
      <c r="G39" s="72"/>
      <c r="H39" s="72"/>
      <c r="I39" s="72"/>
      <c r="J39" s="72"/>
      <c r="K39" s="72"/>
      <c r="L39" s="73">
        <f>(438795803+451799386)/1000000</f>
        <v>890.595189</v>
      </c>
      <c r="M39" s="73">
        <f>(371184.843+913433.57)/1000</f>
        <v>1284.6184129999999</v>
      </c>
      <c r="N39" s="73">
        <f>439.100242+1114.882835</f>
        <v>1553.9830769999999</v>
      </c>
      <c r="O39" s="73">
        <f>692.424+1127.207</f>
        <v>1819.6310000000001</v>
      </c>
      <c r="P39" s="73">
        <f>(1092321+862064)/1000</f>
        <v>1954.385</v>
      </c>
      <c r="Q39" s="73">
        <f>(1172643+1185372)/1000</f>
        <v>2358.0149999999999</v>
      </c>
      <c r="R39" s="73">
        <v>2533.6779999999999</v>
      </c>
      <c r="T39" s="73">
        <f t="shared" si="2"/>
        <v>261.0997820853193</v>
      </c>
      <c r="U39" s="73">
        <f t="shared" si="2"/>
        <v>132.07808313898661</v>
      </c>
      <c r="V39" s="73">
        <f t="shared" si="2"/>
        <v>162.85742646959997</v>
      </c>
      <c r="W39" s="73">
        <f t="shared" si="2"/>
        <v>170.94991715270484</v>
      </c>
      <c r="X39" s="73">
        <f t="shared" si="2"/>
        <v>151.77810754325859</v>
      </c>
      <c r="Y39" s="73">
        <f t="shared" si="2"/>
        <v>191.81572082817073</v>
      </c>
      <c r="Z39" s="73">
        <f t="shared" si="2"/>
        <v>224.03834579516067</v>
      </c>
      <c r="AB39" s="73">
        <f t="shared" si="3"/>
        <v>81.207254224176012</v>
      </c>
      <c r="AC39" s="73">
        <f t="shared" si="3"/>
        <v>40.962696704725303</v>
      </c>
      <c r="AD39" s="73">
        <f t="shared" si="3"/>
        <v>52.360291184241085</v>
      </c>
      <c r="AE39" s="73">
        <f t="shared" si="3"/>
        <v>56.502366617311999</v>
      </c>
      <c r="AF39" s="73">
        <f t="shared" si="3"/>
        <v>55.418740407270001</v>
      </c>
      <c r="AG39" s="73">
        <f t="shared" si="3"/>
        <v>70.780000985594995</v>
      </c>
      <c r="AH39" s="73">
        <f t="shared" si="3"/>
        <v>88.887213694229985</v>
      </c>
    </row>
    <row r="40" spans="2:36" x14ac:dyDescent="0.25">
      <c r="D40" t="s">
        <v>274</v>
      </c>
      <c r="L40" s="7">
        <f>(1064524634+413435380)/1000000</f>
        <v>1477.960014</v>
      </c>
      <c r="M40" s="7">
        <f>(1247003584+1796627838)/1000000</f>
        <v>3043.6314219999999</v>
      </c>
      <c r="N40" s="7">
        <f>1641.572062+2529.516459</f>
        <v>4171.0885209999997</v>
      </c>
      <c r="O40" s="7">
        <f>1473.109+3113.328</f>
        <v>4586.4369999999999</v>
      </c>
      <c r="P40" s="7">
        <f>(1665312+3402734)/1000</f>
        <v>5068.0460000000003</v>
      </c>
      <c r="Q40" s="7">
        <f>(5242300+3498271)/1000</f>
        <v>8740.5709999999999</v>
      </c>
      <c r="R40" s="7">
        <v>6028.0219999999999</v>
      </c>
      <c r="T40" s="7">
        <f t="shared" si="2"/>
        <v>433.30015966009836</v>
      </c>
      <c r="U40" s="7">
        <f t="shared" si="2"/>
        <v>312.93106180889532</v>
      </c>
      <c r="V40" s="7">
        <f>(N41/N$43)*1000</f>
        <v>143.11643292639997</v>
      </c>
      <c r="W40" s="7">
        <f>(O41/O$43)*1000</f>
        <v>143.70699978322645</v>
      </c>
      <c r="X40" s="7">
        <f>(P41/P$43)*1000</f>
        <v>169.97321474804042</v>
      </c>
      <c r="Y40" s="7">
        <f>(Q41/Q$43)*1000</f>
        <v>206.13388424170731</v>
      </c>
      <c r="Z40" s="7">
        <f>(R41/R$43)*1000</f>
        <v>199.04746791708882</v>
      </c>
      <c r="AB40" s="7">
        <f t="shared" si="3"/>
        <v>134.76501565748381</v>
      </c>
      <c r="AC40" s="7">
        <f t="shared" si="3"/>
        <v>97.052439509410803</v>
      </c>
      <c r="AD40" s="7">
        <f>+(N41*N$44)</f>
        <v>46.01336435016686</v>
      </c>
      <c r="AE40" s="7">
        <f>+(O41*O$44)</f>
        <v>47.498037568352004</v>
      </c>
      <c r="AF40" s="7">
        <f>+(P41*P$44)</f>
        <v>62.062319900951998</v>
      </c>
      <c r="AG40" s="7">
        <f>+(Q41*Q$44)</f>
        <v>76.063403285189992</v>
      </c>
      <c r="AH40" s="7">
        <f>+(R41*R$44)</f>
        <v>78.972082896104993</v>
      </c>
    </row>
    <row r="41" spans="2:36" x14ac:dyDescent="0.25">
      <c r="D41" t="s">
        <v>275</v>
      </c>
      <c r="L41" s="7">
        <f>(486767580+194735272)/1000000</f>
        <v>681.50285199999996</v>
      </c>
      <c r="M41" s="7">
        <f>(733571138+586612231)/1000000</f>
        <v>1320.1833690000001</v>
      </c>
      <c r="N41" s="7">
        <f>1025.372574+340.242244</f>
        <v>1365.614818</v>
      </c>
      <c r="O41" s="7">
        <f>(1119.693+409.958)</f>
        <v>1529.6510000000001</v>
      </c>
      <c r="P41" s="7">
        <f>(1499018+689658)/1000</f>
        <v>2188.6759999999999</v>
      </c>
      <c r="Q41" s="7">
        <f>(1731658+802372)/1000</f>
        <v>2534.0300000000002</v>
      </c>
      <c r="R41" s="7">
        <v>2251.0529999999999</v>
      </c>
      <c r="T41" s="7">
        <f t="shared" si="2"/>
        <v>199.79924475846636</v>
      </c>
      <c r="U41" s="7">
        <f t="shared" si="2"/>
        <v>135.73469522539799</v>
      </c>
      <c r="V41" s="7">
        <f>(N40/N$43)*1000</f>
        <v>437.13007700079993</v>
      </c>
      <c r="W41" s="7">
        <f>(O40/O$43)*1000</f>
        <v>430.88462725470174</v>
      </c>
      <c r="X41" s="7">
        <f>(P40/P$43)*1000</f>
        <v>393.58592642809958</v>
      </c>
      <c r="Y41" s="7">
        <f>(Q40/Q$43)*1000</f>
        <v>711.01283359724391</v>
      </c>
      <c r="Z41" s="7">
        <f>(R40/R$43)*1000</f>
        <v>533.02277451863893</v>
      </c>
      <c r="AB41" s="7">
        <f t="shared" si="3"/>
        <v>62.141561104778212</v>
      </c>
      <c r="AC41" s="7">
        <f t="shared" si="3"/>
        <v>42.096758377204935</v>
      </c>
      <c r="AD41" s="7">
        <f>+(N40*N$44)</f>
        <v>140.54169105652718</v>
      </c>
      <c r="AE41" s="7">
        <f>+(O40*O$44)</f>
        <v>142.41598700022399</v>
      </c>
      <c r="AF41" s="7">
        <f>+(P40*P$44)</f>
        <v>143.71002931669202</v>
      </c>
      <c r="AG41" s="7">
        <f>+(Q40*Q$44)</f>
        <v>262.36373559738297</v>
      </c>
      <c r="AH41" s="7">
        <f>+(R40*R$44)</f>
        <v>211.47678579026999</v>
      </c>
    </row>
    <row r="42" spans="2:36" x14ac:dyDescent="0.25">
      <c r="C42" s="27" t="s">
        <v>18</v>
      </c>
      <c r="D42" s="27"/>
      <c r="E42" s="27"/>
      <c r="F42" s="27"/>
      <c r="G42" s="27"/>
      <c r="H42" s="27"/>
      <c r="I42" s="27"/>
      <c r="J42" s="27"/>
      <c r="K42" s="27"/>
      <c r="L42" s="71">
        <v>414.02570500000002</v>
      </c>
      <c r="M42" s="71">
        <v>1364.026754</v>
      </c>
      <c r="N42" s="71">
        <v>1613.3240000000001</v>
      </c>
      <c r="O42" s="71">
        <v>3548.1550000000002</v>
      </c>
      <c r="P42" s="71">
        <v>4040.306</v>
      </c>
      <c r="Q42" s="71">
        <v>4927.0439999999999</v>
      </c>
      <c r="R42" s="71">
        <v>5487.0630000000001</v>
      </c>
      <c r="T42" s="71">
        <f t="shared" si="2"/>
        <v>121.38177107671386</v>
      </c>
      <c r="U42" s="71">
        <f t="shared" si="2"/>
        <v>140.24245425370066</v>
      </c>
      <c r="V42" s="71">
        <f>(N42/N$43)*1000</f>
        <v>169.07635519999999</v>
      </c>
      <c r="W42" s="71">
        <f>(O42/O$43)*1000</f>
        <v>333.34055272467634</v>
      </c>
      <c r="X42" s="71">
        <f>(P42/P$43)*1000</f>
        <v>313.77133910446145</v>
      </c>
      <c r="Y42" s="71">
        <f>(Q42/Q$43)*1000</f>
        <v>400.79664311385358</v>
      </c>
      <c r="Z42" s="71">
        <f>(R42/R$43)*1000</f>
        <v>485.18893000366728</v>
      </c>
      <c r="AB42" s="71">
        <f t="shared" si="3"/>
        <v>37.752158440279544</v>
      </c>
      <c r="AC42" s="71">
        <f t="shared" si="3"/>
        <v>43.494794762242719</v>
      </c>
      <c r="AD42" s="71">
        <f>+(N42*N$44)</f>
        <v>54.359738960351997</v>
      </c>
      <c r="AE42" s="71">
        <f>+(O42*O$44)</f>
        <v>110.17571948656</v>
      </c>
      <c r="AF42" s="71">
        <f>+(P42*P$44)</f>
        <v>114.567329047212</v>
      </c>
      <c r="AG42" s="71">
        <f>+(Q42*Q$44)</f>
        <v>147.89396130901198</v>
      </c>
      <c r="AH42" s="71">
        <f>+(R42*R$44)</f>
        <v>192.498707978955</v>
      </c>
    </row>
    <row r="43" spans="2:36" x14ac:dyDescent="0.25">
      <c r="C43" s="13" t="s">
        <v>276</v>
      </c>
      <c r="D43" s="13"/>
      <c r="E43" s="13"/>
      <c r="F43" s="13"/>
      <c r="G43" s="13"/>
      <c r="H43" s="13"/>
      <c r="I43" s="13"/>
      <c r="J43" s="13"/>
      <c r="K43" s="13"/>
      <c r="L43" s="163">
        <f>[2]Munka1!$AD$28</f>
        <v>3410.9380784890163</v>
      </c>
      <c r="M43" s="163">
        <f>[2]Munka1!$AD$24</f>
        <v>9726.2042457732205</v>
      </c>
      <c r="N43" s="163">
        <f>[2]Munka1!$AD$20</f>
        <v>9541.9847328244286</v>
      </c>
      <c r="O43" s="163">
        <f>[2]Munka1!$AD$16</f>
        <v>10644.234465317546</v>
      </c>
      <c r="P43" s="163">
        <f>[2]Munka1!$AD$12</f>
        <v>12876.593545897105</v>
      </c>
      <c r="Q43" s="163">
        <f>[2]Munka1!$AD$8</f>
        <v>12293.126912743086</v>
      </c>
      <c r="R43" s="163">
        <f>[2]Munka1!$AD$6</f>
        <v>11309.126529244033</v>
      </c>
      <c r="S43" s="164"/>
      <c r="T43" s="164"/>
      <c r="U43" s="13"/>
      <c r="V43" s="13"/>
      <c r="W43" s="164"/>
      <c r="X43" s="164"/>
      <c r="Y43" s="164"/>
      <c r="Z43" s="164"/>
      <c r="AA43" s="164"/>
      <c r="AB43" s="13"/>
      <c r="AC43" s="164"/>
      <c r="AD43" s="164"/>
      <c r="AE43" s="164"/>
      <c r="AF43" s="7"/>
      <c r="AG43" s="7"/>
      <c r="AH43" s="7"/>
    </row>
    <row r="44" spans="2:36" x14ac:dyDescent="0.25">
      <c r="C44" s="13" t="s">
        <v>277</v>
      </c>
      <c r="D44" s="13"/>
      <c r="E44" s="13"/>
      <c r="F44" s="13"/>
      <c r="G44" s="13"/>
      <c r="H44" s="13"/>
      <c r="I44" s="13"/>
      <c r="J44" s="13"/>
      <c r="K44" s="13"/>
      <c r="L44" s="165">
        <f>[2]Munka1!$Q$28</f>
        <v>9.1183127000000017E-2</v>
      </c>
      <c r="M44" s="165">
        <f>[2]Munka1!$Q$24</f>
        <v>3.1887054000000005E-2</v>
      </c>
      <c r="N44" s="165">
        <f>[2]Munka1!$Q$20</f>
        <v>3.3694247999999996E-2</v>
      </c>
      <c r="O44" s="165">
        <f>[2]Munka1!$Q$16</f>
        <v>3.1051552E-2</v>
      </c>
      <c r="P44" s="165">
        <f>[2]Munka1!$Q$12</f>
        <v>2.8356102000000001E-2</v>
      </c>
      <c r="Q44" s="165">
        <f>[2]Munka1!$Q$8</f>
        <v>3.0016772999999997E-2</v>
      </c>
      <c r="R44" s="165">
        <f>[2]Munka1!$Q$6</f>
        <v>3.5082284999999998E-2</v>
      </c>
      <c r="S44" s="164"/>
      <c r="V44" s="13"/>
      <c r="W44" s="164"/>
      <c r="X44" s="164"/>
      <c r="Y44" s="164"/>
      <c r="Z44" s="164"/>
      <c r="AA44" s="164"/>
      <c r="AB44" s="13"/>
      <c r="AC44" s="164"/>
      <c r="AD44" s="164"/>
      <c r="AE44" s="164"/>
      <c r="AF44" s="7"/>
      <c r="AG44" s="7"/>
      <c r="AH44" s="7"/>
    </row>
    <row r="45" spans="2:36" x14ac:dyDescent="0.25">
      <c r="L45" s="7"/>
      <c r="M45" s="7"/>
      <c r="N45" s="7"/>
      <c r="O45" s="7"/>
      <c r="P45" s="7"/>
      <c r="Q45" s="7"/>
      <c r="R45" s="7"/>
    </row>
    <row r="46" spans="2:36" x14ac:dyDescent="0.25">
      <c r="L46" s="177" t="s">
        <v>270</v>
      </c>
      <c r="M46" s="177"/>
      <c r="N46" s="177"/>
      <c r="O46" s="177"/>
      <c r="P46" s="177"/>
      <c r="Q46" s="177"/>
      <c r="R46" s="155"/>
      <c r="T46" s="177" t="s">
        <v>47</v>
      </c>
      <c r="U46" s="177"/>
      <c r="V46" s="177"/>
      <c r="W46" s="177"/>
      <c r="X46" s="177"/>
      <c r="Y46" s="177"/>
      <c r="Z46" s="155"/>
      <c r="AB46" s="177" t="s">
        <v>102</v>
      </c>
      <c r="AC46" s="177"/>
      <c r="AD46" s="177"/>
      <c r="AE46" s="177"/>
      <c r="AF46" s="177"/>
      <c r="AG46" s="177"/>
    </row>
    <row r="47" spans="2:36" x14ac:dyDescent="0.25">
      <c r="B47" s="30" t="s">
        <v>8</v>
      </c>
      <c r="C47" s="27"/>
      <c r="D47" s="27"/>
      <c r="E47" s="27"/>
      <c r="F47" s="27"/>
      <c r="G47" s="27"/>
      <c r="H47" s="27"/>
      <c r="I47" s="27"/>
      <c r="J47" s="27"/>
      <c r="K47" s="27"/>
      <c r="L47" s="53">
        <v>2016</v>
      </c>
      <c r="M47" s="53">
        <v>2017</v>
      </c>
      <c r="N47" s="53">
        <v>2018</v>
      </c>
      <c r="O47" s="53">
        <v>2019</v>
      </c>
      <c r="P47" s="53">
        <v>2020</v>
      </c>
      <c r="Q47" s="53">
        <f>Q31</f>
        <v>2021</v>
      </c>
      <c r="R47" s="53" t="s">
        <v>271</v>
      </c>
      <c r="T47" s="53">
        <f>L47</f>
        <v>2016</v>
      </c>
      <c r="U47" s="53">
        <f t="shared" ref="U47:Y47" si="4">M47</f>
        <v>2017</v>
      </c>
      <c r="V47" s="53">
        <f t="shared" si="4"/>
        <v>2018</v>
      </c>
      <c r="W47" s="53">
        <f t="shared" si="4"/>
        <v>2019</v>
      </c>
      <c r="X47" s="53">
        <f t="shared" si="4"/>
        <v>2020</v>
      </c>
      <c r="Y47" s="53">
        <f t="shared" si="4"/>
        <v>2021</v>
      </c>
      <c r="Z47" s="53" t="s">
        <v>271</v>
      </c>
      <c r="AB47" s="53">
        <f>L47</f>
        <v>2016</v>
      </c>
      <c r="AC47" s="53">
        <f t="shared" ref="AC47:AG47" si="5">M47</f>
        <v>2017</v>
      </c>
      <c r="AD47" s="53">
        <f t="shared" si="5"/>
        <v>2018</v>
      </c>
      <c r="AE47" s="53">
        <f t="shared" si="5"/>
        <v>2019</v>
      </c>
      <c r="AF47" s="53">
        <f t="shared" si="5"/>
        <v>2020</v>
      </c>
      <c r="AG47" s="53">
        <f t="shared" si="5"/>
        <v>2021</v>
      </c>
      <c r="AH47" s="53" t="s">
        <v>271</v>
      </c>
    </row>
    <row r="48" spans="2:36" x14ac:dyDescent="0.25">
      <c r="C48" t="s">
        <v>19</v>
      </c>
      <c r="L48" s="7">
        <f t="shared" ref="L48:Q48" si="6">SUM(L49:L51)</f>
        <v>391.20660600000002</v>
      </c>
      <c r="M48" s="7">
        <f t="shared" si="6"/>
        <v>743.119057</v>
      </c>
      <c r="N48" s="7">
        <f t="shared" si="6"/>
        <v>825.17300000000012</v>
      </c>
      <c r="O48" s="7">
        <f t="shared" si="6"/>
        <v>1304.9570000000001</v>
      </c>
      <c r="P48" s="7">
        <f t="shared" si="6"/>
        <v>1785.7809999999999</v>
      </c>
      <c r="Q48" s="7">
        <f t="shared" si="6"/>
        <v>2575.8440000000001</v>
      </c>
      <c r="R48" s="7">
        <v>1378.2629999999999</v>
      </c>
      <c r="T48" s="7">
        <f t="shared" ref="T48:Z56" si="7">L48/L$57*1000</f>
        <v>119.36831485340117</v>
      </c>
      <c r="U48" s="7">
        <f t="shared" si="7"/>
        <v>149.17909888577748</v>
      </c>
      <c r="V48" s="7">
        <f t="shared" si="7"/>
        <v>86.397905077233162</v>
      </c>
      <c r="W48" s="7">
        <f t="shared" si="7"/>
        <v>132.11879795357078</v>
      </c>
      <c r="X48" s="7">
        <f>P48/P$57*1000</f>
        <v>155.97367700357665</v>
      </c>
      <c r="Y48" s="7">
        <f>Q48/Q$57*1000</f>
        <v>205.35336026316338</v>
      </c>
      <c r="Z48" s="7">
        <f>R48/R$57*1000</f>
        <v>114.50053407772249</v>
      </c>
      <c r="AB48" s="7">
        <f t="shared" ref="AB48:AH56" si="8">+L48*L$58</f>
        <v>37.178917719531064</v>
      </c>
      <c r="AC48" s="7">
        <f t="shared" si="8"/>
        <v>46.127948505819759</v>
      </c>
      <c r="AD48" s="7">
        <f t="shared" si="8"/>
        <v>27.5493211159182</v>
      </c>
      <c r="AE48" s="7">
        <f t="shared" si="8"/>
        <v>42.98465835238347</v>
      </c>
      <c r="AF48" s="7">
        <f t="shared" si="8"/>
        <v>54.772620073593515</v>
      </c>
      <c r="AG48" s="7">
        <f t="shared" si="8"/>
        <v>73.622807834266595</v>
      </c>
      <c r="AH48" s="7">
        <f t="shared" si="8"/>
        <v>42.946241649631574</v>
      </c>
    </row>
    <row r="49" spans="2:35" x14ac:dyDescent="0.25">
      <c r="D49" t="s">
        <v>20</v>
      </c>
      <c r="L49" s="7">
        <v>199.93226300000001</v>
      </c>
      <c r="M49" s="7">
        <f>(582492130-284910739)/1000000</f>
        <v>297.581391</v>
      </c>
      <c r="N49" s="7">
        <f>(1224371-577354)/1000</f>
        <v>647.01700000000005</v>
      </c>
      <c r="O49" s="7">
        <f>(1952784-917559)/1000</f>
        <v>1035.2249999999999</v>
      </c>
      <c r="P49" s="7">
        <v>1410.069</v>
      </c>
      <c r="Q49" s="7">
        <v>2121.7359999999999</v>
      </c>
      <c r="R49" s="7">
        <v>1157.6389999999999</v>
      </c>
      <c r="T49" s="7">
        <f t="shared" si="7"/>
        <v>61.005046829748601</v>
      </c>
      <c r="U49" s="7">
        <f t="shared" si="7"/>
        <v>59.738642598902182</v>
      </c>
      <c r="V49" s="7">
        <f t="shared" si="7"/>
        <v>67.744477036156255</v>
      </c>
      <c r="W49" s="7">
        <f t="shared" si="7"/>
        <v>104.81010685523376</v>
      </c>
      <c r="X49" s="7">
        <f t="shared" si="7"/>
        <v>123.15824099302004</v>
      </c>
      <c r="Y49" s="7">
        <f t="shared" si="7"/>
        <v>169.15062293808288</v>
      </c>
      <c r="Z49" s="7">
        <f t="shared" si="7"/>
        <v>96.171981522540023</v>
      </c>
      <c r="AB49" s="7">
        <f t="shared" si="8"/>
        <v>19.000868189727463</v>
      </c>
      <c r="AC49" s="7">
        <f t="shared" si="8"/>
        <v>18.471897539209813</v>
      </c>
      <c r="AD49" s="7">
        <f t="shared" si="8"/>
        <v>21.601384316328875</v>
      </c>
      <c r="AE49" s="7">
        <f t="shared" si="8"/>
        <v>34.099815505680397</v>
      </c>
      <c r="AF49" s="7">
        <f t="shared" si="8"/>
        <v>43.248961442949572</v>
      </c>
      <c r="AG49" s="7">
        <f t="shared" si="8"/>
        <v>60.643486873834533</v>
      </c>
      <c r="AH49" s="7">
        <f t="shared" si="8"/>
        <v>36.071667190541895</v>
      </c>
    </row>
    <row r="50" spans="2:35" x14ac:dyDescent="0.25">
      <c r="C50" s="27"/>
      <c r="D50" s="27" t="s">
        <v>21</v>
      </c>
      <c r="E50" s="27"/>
      <c r="F50" s="27"/>
      <c r="G50" s="27"/>
      <c r="H50" s="27"/>
      <c r="I50" s="27"/>
      <c r="J50" s="27"/>
      <c r="K50" s="27"/>
      <c r="L50" s="71">
        <f>(181042621-35633075)/1000000</f>
        <v>145.40954600000001</v>
      </c>
      <c r="M50" s="71">
        <f>(205201147-34506036)/1000000</f>
        <v>170.695111</v>
      </c>
      <c r="N50" s="71">
        <f>216.187-38.346</f>
        <v>177.84100000000001</v>
      </c>
      <c r="O50" s="71">
        <f>255.425-47.748</f>
        <v>207.67700000000002</v>
      </c>
      <c r="P50" s="71">
        <f>(312292-57012)/1000</f>
        <v>255.28</v>
      </c>
      <c r="Q50" s="71">
        <f>(343937-82415)/1000</f>
        <v>261.52199999999999</v>
      </c>
      <c r="R50" s="71">
        <v>127.33499999999999</v>
      </c>
      <c r="T50" s="71">
        <f t="shared" si="7"/>
        <v>44.368607798044494</v>
      </c>
      <c r="U50" s="71">
        <f t="shared" si="7"/>
        <v>34.266572231356143</v>
      </c>
      <c r="V50" s="71">
        <f t="shared" si="7"/>
        <v>18.620446666141788</v>
      </c>
      <c r="W50" s="71">
        <f t="shared" si="7"/>
        <v>21.026007448983929</v>
      </c>
      <c r="X50" s="71">
        <f t="shared" si="7"/>
        <v>22.296664745270025</v>
      </c>
      <c r="Y50" s="71">
        <f t="shared" si="7"/>
        <v>20.849252316034285</v>
      </c>
      <c r="Z50" s="71">
        <f t="shared" si="7"/>
        <v>10.5784784956041</v>
      </c>
      <c r="AB50" s="71">
        <f t="shared" si="8"/>
        <v>13.81921844737041</v>
      </c>
      <c r="AC50" s="71">
        <f t="shared" si="8"/>
        <v>10.595630964155436</v>
      </c>
      <c r="AD50" s="71">
        <f t="shared" si="8"/>
        <v>5.937420173195207</v>
      </c>
      <c r="AE50" s="71">
        <f t="shared" si="8"/>
        <v>6.8407808783338782</v>
      </c>
      <c r="AF50" s="71">
        <f t="shared" si="8"/>
        <v>7.8298259710384155</v>
      </c>
      <c r="AG50" s="71">
        <f t="shared" si="8"/>
        <v>7.4748253195585859</v>
      </c>
      <c r="AH50" s="71">
        <f t="shared" si="8"/>
        <v>3.9677185562231858</v>
      </c>
    </row>
    <row r="51" spans="2:35" x14ac:dyDescent="0.25">
      <c r="D51" t="s">
        <v>22</v>
      </c>
      <c r="L51" s="7">
        <f>(8598669+29994097-125238+181478+7467615-251824)/1000000</f>
        <v>45.864797000000003</v>
      </c>
      <c r="M51" s="7">
        <f>(59535822+206990609-2967147+481868+10905834-104172-259)/1000000</f>
        <v>274.842555</v>
      </c>
      <c r="N51" s="7">
        <f>(-1075+10533+961-25659+1023+14592-60)/1000</f>
        <v>0.315</v>
      </c>
      <c r="O51" s="7">
        <f>(16727+20070+181-5774+31127-276)/1000</f>
        <v>62.055</v>
      </c>
      <c r="P51" s="7">
        <f>(7259+56083-39644+55739+1960-9460+48141+354)/1000</f>
        <v>120.432</v>
      </c>
      <c r="Q51" s="7">
        <f>(10059+59841-8336+164-33620+161925+2553)/1000</f>
        <v>192.58600000000001</v>
      </c>
      <c r="R51" s="7">
        <v>93.289000000000001</v>
      </c>
      <c r="T51" s="7">
        <f t="shared" si="7"/>
        <v>13.994660225608076</v>
      </c>
      <c r="U51" s="7">
        <f t="shared" si="7"/>
        <v>55.173884055519174</v>
      </c>
      <c r="V51" s="7">
        <f t="shared" si="7"/>
        <v>3.2981374935108686E-2</v>
      </c>
      <c r="W51" s="7">
        <f t="shared" si="7"/>
        <v>6.2826836493530704</v>
      </c>
      <c r="X51" s="7">
        <f t="shared" si="7"/>
        <v>10.518771265286587</v>
      </c>
      <c r="Y51" s="7">
        <f t="shared" si="7"/>
        <v>15.353485009046194</v>
      </c>
      <c r="Z51" s="7">
        <f t="shared" si="7"/>
        <v>7.7500740595783641</v>
      </c>
      <c r="AB51" s="7">
        <f t="shared" si="8"/>
        <v>4.3588310824331922</v>
      </c>
      <c r="AC51" s="7">
        <f t="shared" si="8"/>
        <v>17.060420002454514</v>
      </c>
      <c r="AD51" s="7">
        <f t="shared" si="8"/>
        <v>1.0516626394118848E-2</v>
      </c>
      <c r="AE51" s="7">
        <f t="shared" si="8"/>
        <v>2.0440619683691921</v>
      </c>
      <c r="AF51" s="7">
        <f t="shared" si="8"/>
        <v>3.6938326596055253</v>
      </c>
      <c r="AG51" s="7">
        <f t="shared" si="8"/>
        <v>5.504495640873464</v>
      </c>
      <c r="AH51" s="7">
        <f t="shared" si="8"/>
        <v>2.9068559028664924</v>
      </c>
    </row>
    <row r="52" spans="2:35" x14ac:dyDescent="0.25">
      <c r="C52" t="s">
        <v>23</v>
      </c>
      <c r="L52" s="7">
        <v>-298.87363900000003</v>
      </c>
      <c r="M52" s="7">
        <v>-391.363</v>
      </c>
      <c r="N52" s="7">
        <v>-503.55799999999999</v>
      </c>
      <c r="O52" s="7">
        <v>-619.40099999999995</v>
      </c>
      <c r="P52" s="7">
        <v>-665.16099999999994</v>
      </c>
      <c r="Q52" s="7">
        <v>-894.12699999999995</v>
      </c>
      <c r="R52" s="7">
        <v>-452.57499999999999</v>
      </c>
      <c r="T52" s="7">
        <f t="shared" si="7"/>
        <v>-91.194888057523656</v>
      </c>
      <c r="U52" s="7">
        <f t="shared" si="7"/>
        <v>-78.565041667656402</v>
      </c>
      <c r="V52" s="7">
        <f t="shared" si="7"/>
        <v>-52.723921268487175</v>
      </c>
      <c r="W52" s="7">
        <f t="shared" si="7"/>
        <v>-62.710507373989849</v>
      </c>
      <c r="X52" s="7">
        <f t="shared" si="7"/>
        <v>-58.09648941800593</v>
      </c>
      <c r="Y52" s="7">
        <f t="shared" si="7"/>
        <v>-71.282260863632075</v>
      </c>
      <c r="Z52" s="7">
        <f t="shared" si="7"/>
        <v>-37.598106609714733</v>
      </c>
      <c r="AB52" s="7">
        <f t="shared" si="8"/>
        <v>-28.403913079417251</v>
      </c>
      <c r="AC52" s="7">
        <f t="shared" si="8"/>
        <v>-24.293243647879077</v>
      </c>
      <c r="AD52" s="7">
        <f t="shared" si="8"/>
        <v>-16.811845567522852</v>
      </c>
      <c r="AE52" s="7">
        <f t="shared" si="8"/>
        <v>-20.402772174197825</v>
      </c>
      <c r="AF52" s="7">
        <f t="shared" si="8"/>
        <v>-20.401499814798978</v>
      </c>
      <c r="AG52" s="7">
        <f t="shared" si="8"/>
        <v>-25.555949933470071</v>
      </c>
      <c r="AH52" s="7">
        <f t="shared" si="8"/>
        <v>-14.102094676111896</v>
      </c>
    </row>
    <row r="53" spans="2:35" x14ac:dyDescent="0.25">
      <c r="C53" s="27" t="s">
        <v>24</v>
      </c>
      <c r="D53" s="27"/>
      <c r="E53" s="27"/>
      <c r="F53" s="27"/>
      <c r="G53" s="27"/>
      <c r="H53" s="27"/>
      <c r="I53" s="27"/>
      <c r="J53" s="27"/>
      <c r="K53" s="27"/>
      <c r="L53" s="71">
        <v>-0.97636999999999996</v>
      </c>
      <c r="M53" s="71">
        <v>-45.235999999999997</v>
      </c>
      <c r="N53" s="71">
        <v>-95.581000000000003</v>
      </c>
      <c r="O53" s="71">
        <v>-274.85599999999999</v>
      </c>
      <c r="P53" s="71">
        <v>-609.72</v>
      </c>
      <c r="Q53" s="71">
        <v>-591.32799999999997</v>
      </c>
      <c r="R53" s="71">
        <v>-206.16200000000001</v>
      </c>
      <c r="T53" s="71">
        <f t="shared" si="7"/>
        <v>-0.29791838835516826</v>
      </c>
      <c r="U53" s="71">
        <f t="shared" si="7"/>
        <v>-9.0810021000403847</v>
      </c>
      <c r="V53" s="71">
        <f t="shared" si="7"/>
        <v>-10.007596183087694</v>
      </c>
      <c r="W53" s="71">
        <f t="shared" si="7"/>
        <v>-27.827464299840258</v>
      </c>
      <c r="X53" s="71">
        <f t="shared" si="7"/>
        <v>-53.254161816382165</v>
      </c>
      <c r="Y53" s="71">
        <f t="shared" si="7"/>
        <v>-47.142292707825426</v>
      </c>
      <c r="Z53" s="71">
        <f t="shared" si="7"/>
        <v>-17.127107893436467</v>
      </c>
      <c r="AB53" s="71">
        <f t="shared" si="8"/>
        <v>-9.2790815229276943E-2</v>
      </c>
      <c r="AC53" s="71">
        <f t="shared" si="8"/>
        <v>-2.8079536636203675</v>
      </c>
      <c r="AD53" s="71">
        <f t="shared" si="8"/>
        <v>-3.1910783091310275</v>
      </c>
      <c r="AE53" s="71">
        <f t="shared" si="8"/>
        <v>-9.0536249517054657</v>
      </c>
      <c r="AF53" s="71">
        <f t="shared" si="8"/>
        <v>-18.701039999457628</v>
      </c>
      <c r="AG53" s="71">
        <f t="shared" si="8"/>
        <v>-16.901344845037663</v>
      </c>
      <c r="AH53" s="71">
        <f t="shared" si="8"/>
        <v>-6.4239430870387917</v>
      </c>
    </row>
    <row r="54" spans="2:35" x14ac:dyDescent="0.25">
      <c r="C54" t="s">
        <v>25</v>
      </c>
      <c r="L54" s="7">
        <v>91.356594000000001</v>
      </c>
      <c r="M54" s="7">
        <v>305.52100000000002</v>
      </c>
      <c r="N54" s="7">
        <v>226.03399999999999</v>
      </c>
      <c r="O54" s="7">
        <v>410.7</v>
      </c>
      <c r="P54" s="7">
        <v>510.9</v>
      </c>
      <c r="Q54" s="7">
        <v>1090.3800000000001</v>
      </c>
      <c r="R54" s="7">
        <v>719.52599999999995</v>
      </c>
      <c r="T54" s="7">
        <f t="shared" si="7"/>
        <v>27.875507492136624</v>
      </c>
      <c r="U54" s="7">
        <f t="shared" si="7"/>
        <v>61.332497183801372</v>
      </c>
      <c r="V54" s="7">
        <f t="shared" si="7"/>
        <v>23.666387625658277</v>
      </c>
      <c r="W54" s="7">
        <f t="shared" si="7"/>
        <v>41.580826279740648</v>
      </c>
      <c r="X54" s="7">
        <f t="shared" si="7"/>
        <v>44.623025769188558</v>
      </c>
      <c r="Y54" s="7">
        <f t="shared" si="7"/>
        <v>86.928089186980301</v>
      </c>
      <c r="Z54" s="7">
        <f t="shared" si="7"/>
        <v>59.775319574571292</v>
      </c>
      <c r="AB54" s="7">
        <f t="shared" si="8"/>
        <v>8.6822135397749527</v>
      </c>
      <c r="AC54" s="7">
        <f t="shared" si="8"/>
        <v>18.964736299915074</v>
      </c>
      <c r="AD54" s="7">
        <f t="shared" si="8"/>
        <v>7.5463972392643166</v>
      </c>
      <c r="AE54" s="7">
        <f t="shared" si="8"/>
        <v>13.528261226480174</v>
      </c>
      <c r="AF54" s="7">
        <f t="shared" si="8"/>
        <v>15.67008025933691</v>
      </c>
      <c r="AG54" s="7">
        <f t="shared" si="8"/>
        <v>31.165255817637874</v>
      </c>
      <c r="AH54" s="7">
        <f t="shared" si="8"/>
        <v>22.420203886480888</v>
      </c>
    </row>
    <row r="55" spans="2:35" x14ac:dyDescent="0.25">
      <c r="C55" t="s">
        <v>26</v>
      </c>
      <c r="L55" s="7">
        <v>-19.294488000000001</v>
      </c>
      <c r="M55" s="7">
        <v>-25.57</v>
      </c>
      <c r="N55" s="7">
        <v>-48.329000000000001</v>
      </c>
      <c r="O55" s="7">
        <v>-71.682000000000002</v>
      </c>
      <c r="P55" s="7">
        <v>-105.251</v>
      </c>
      <c r="Q55" s="7">
        <v>203.59899999999999</v>
      </c>
      <c r="R55" s="7">
        <v>-159.483</v>
      </c>
      <c r="T55" s="7">
        <f t="shared" si="7"/>
        <v>-5.8872996600654819</v>
      </c>
      <c r="U55" s="7">
        <f t="shared" si="7"/>
        <v>-5.1331068993286904</v>
      </c>
      <c r="V55" s="7">
        <f t="shared" si="7"/>
        <v>-5.0601805372662465</v>
      </c>
      <c r="W55" s="7">
        <f t="shared" si="7"/>
        <v>-7.2573576561586783</v>
      </c>
      <c r="X55" s="7">
        <f t="shared" si="7"/>
        <v>-9.1928324236305841</v>
      </c>
      <c r="Y55" s="7">
        <f t="shared" si="7"/>
        <v>16.231471624919756</v>
      </c>
      <c r="Z55" s="7">
        <f t="shared" si="7"/>
        <v>-13.249204742721396</v>
      </c>
      <c r="AB55" s="7">
        <f t="shared" si="8"/>
        <v>-1.8336811566839428</v>
      </c>
      <c r="AC55" s="7">
        <f t="shared" si="8"/>
        <v>-1.5872175961352197</v>
      </c>
      <c r="AD55" s="7">
        <f t="shared" si="8"/>
        <v>-1.6135175777821265</v>
      </c>
      <c r="AE55" s="7">
        <f t="shared" si="8"/>
        <v>-2.3611707359058971</v>
      </c>
      <c r="AF55" s="7">
        <f t="shared" si="8"/>
        <v>-3.2282082939429815</v>
      </c>
      <c r="AG55" s="7">
        <f t="shared" si="8"/>
        <v>5.8192693549177834</v>
      </c>
      <c r="AH55" s="7">
        <f t="shared" si="8"/>
        <v>-4.9694401264549608</v>
      </c>
    </row>
    <row r="56" spans="2:35" x14ac:dyDescent="0.25">
      <c r="C56" s="27" t="s">
        <v>27</v>
      </c>
      <c r="D56" s="27"/>
      <c r="E56" s="27"/>
      <c r="F56" s="27"/>
      <c r="G56" s="27"/>
      <c r="H56" s="27"/>
      <c r="I56" s="27"/>
      <c r="J56" s="27"/>
      <c r="K56" s="27"/>
      <c r="L56" s="71">
        <v>72.062106</v>
      </c>
      <c r="M56" s="71">
        <v>280.95100000000002</v>
      </c>
      <c r="N56" s="71">
        <v>177.70500000000001</v>
      </c>
      <c r="O56" s="71">
        <v>339.01799999999997</v>
      </c>
      <c r="P56" s="71">
        <v>405.649</v>
      </c>
      <c r="Q56" s="71">
        <v>886.78099999999995</v>
      </c>
      <c r="R56" s="71">
        <v>560.04300000000001</v>
      </c>
      <c r="T56" s="71">
        <f t="shared" si="7"/>
        <v>21.988207832071144</v>
      </c>
      <c r="U56" s="71">
        <f t="shared" si="7"/>
        <v>56.400137523398321</v>
      </c>
      <c r="V56" s="71">
        <f t="shared" si="7"/>
        <v>18.606207088392029</v>
      </c>
      <c r="W56" s="71">
        <f t="shared" si="7"/>
        <v>34.323468623581967</v>
      </c>
      <c r="X56" s="71">
        <f t="shared" si="7"/>
        <v>35.430193345557974</v>
      </c>
      <c r="Y56" s="71">
        <f t="shared" si="7"/>
        <v>70.696617562060538</v>
      </c>
      <c r="Z56" s="71">
        <f t="shared" si="7"/>
        <v>46.526114831849902</v>
      </c>
      <c r="AB56" s="71">
        <f t="shared" si="8"/>
        <v>6.8485323830910101</v>
      </c>
      <c r="AC56" s="71">
        <f t="shared" si="8"/>
        <v>17.439592133429258</v>
      </c>
      <c r="AD56" s="71">
        <f t="shared" si="8"/>
        <v>5.9328796614821906</v>
      </c>
      <c r="AE56" s="71">
        <f t="shared" si="8"/>
        <v>11.167090490574276</v>
      </c>
      <c r="AF56" s="71">
        <f t="shared" si="8"/>
        <v>12.441871965393929</v>
      </c>
      <c r="AG56" s="71">
        <f t="shared" si="8"/>
        <v>25.345986462720084</v>
      </c>
      <c r="AH56" s="71">
        <f t="shared" si="8"/>
        <v>17.450763760025929</v>
      </c>
      <c r="AI56" s="83"/>
    </row>
    <row r="57" spans="2:35" x14ac:dyDescent="0.25">
      <c r="C57" s="13" t="s">
        <v>278</v>
      </c>
      <c r="D57" s="13"/>
      <c r="E57" s="13"/>
      <c r="F57" s="13"/>
      <c r="G57" s="13"/>
      <c r="H57" s="13"/>
      <c r="I57" s="13"/>
      <c r="J57" s="166"/>
      <c r="K57" s="166"/>
      <c r="L57" s="166">
        <f>[2]Munka1!$AD$214</f>
        <v>3277.3069342601457</v>
      </c>
      <c r="M57" s="166">
        <f>[2]Munka1!$AD$207</f>
        <v>4981.3885628105763</v>
      </c>
      <c r="N57" s="166">
        <f>[2]Munka1!$AD$200</f>
        <v>9550.8450032712972</v>
      </c>
      <c r="O57" s="166">
        <f>[2]Munka1!$AD$193</f>
        <v>9877.1485981774404</v>
      </c>
      <c r="P57" s="166">
        <f>[2]Munka1!$AD$186</f>
        <v>11449.24601578156</v>
      </c>
      <c r="Q57" s="166">
        <f>[2]Munka1!$AD$179</f>
        <v>12543.471393402171</v>
      </c>
      <c r="R57" s="166">
        <f>[2]Munka1!$AD$176</f>
        <v>12037.175294435227</v>
      </c>
      <c r="W57" s="13"/>
      <c r="AB57" s="164"/>
      <c r="AC57" s="164"/>
      <c r="AD57" s="164"/>
    </row>
    <row r="58" spans="2:35" x14ac:dyDescent="0.25">
      <c r="C58" s="13" t="s">
        <v>279</v>
      </c>
      <c r="D58" s="13"/>
      <c r="E58" s="13"/>
      <c r="F58" s="13"/>
      <c r="G58" s="13"/>
      <c r="H58" s="13"/>
      <c r="I58" s="13"/>
      <c r="J58" s="167"/>
      <c r="K58" s="167"/>
      <c r="L58" s="167">
        <f>[2]Munka1!$Q$214</f>
        <v>9.5036528395256864E-2</v>
      </c>
      <c r="M58" s="167">
        <f>[2]Munka1!$Q$207</f>
        <v>6.2073429649402413E-2</v>
      </c>
      <c r="N58" s="167">
        <f>[2]Munka1!$Q$200</f>
        <v>3.3386115536885232E-2</v>
      </c>
      <c r="O58" s="167">
        <f>[2]Munka1!$Q$193</f>
        <v>3.2939520882591125E-2</v>
      </c>
      <c r="P58" s="167">
        <f>[2]Munka1!$Q$186</f>
        <v>3.0671521353174615E-2</v>
      </c>
      <c r="Q58" s="167">
        <f>[2]Munka1!$Q$179</f>
        <v>2.8582013442687751E-2</v>
      </c>
      <c r="R58" s="167">
        <f>[2]Munka1!$Q$176</f>
        <v>3.1159685524193553E-2</v>
      </c>
      <c r="W58" s="13"/>
      <c r="AB58" s="164"/>
      <c r="AC58" s="164"/>
      <c r="AD58" s="164"/>
    </row>
    <row r="59" spans="2:35" x14ac:dyDescent="0.25">
      <c r="L59" s="168"/>
      <c r="M59" s="168"/>
      <c r="N59" s="168"/>
      <c r="O59" s="168"/>
    </row>
    <row r="60" spans="2:35" x14ac:dyDescent="0.25">
      <c r="B60" s="30" t="s">
        <v>9</v>
      </c>
      <c r="C60" s="27"/>
      <c r="D60" s="27"/>
      <c r="E60" s="27"/>
      <c r="F60" s="27"/>
      <c r="G60" s="27"/>
      <c r="H60" s="27"/>
      <c r="I60" s="27"/>
      <c r="J60" s="27"/>
      <c r="K60" s="27"/>
      <c r="L60" s="53"/>
      <c r="M60" s="53">
        <f t="shared" ref="M60:O60" si="9">M47</f>
        <v>2017</v>
      </c>
      <c r="N60" s="53">
        <f t="shared" si="9"/>
        <v>2018</v>
      </c>
      <c r="O60" s="53">
        <f t="shared" si="9"/>
        <v>2019</v>
      </c>
      <c r="P60" s="53">
        <v>2020</v>
      </c>
      <c r="Q60" s="53">
        <v>2021</v>
      </c>
      <c r="R60" s="53" t="s">
        <v>271</v>
      </c>
    </row>
    <row r="61" spans="2:35" x14ac:dyDescent="0.25">
      <c r="C61" t="s">
        <v>10</v>
      </c>
      <c r="L61" s="26"/>
      <c r="M61" s="26">
        <f>M56/AVERAGE(L42:M42)</f>
        <v>0.31602104716079138</v>
      </c>
      <c r="N61" s="26">
        <f>N56/AVERAGE(M42:N42)</f>
        <v>0.11937122272964149</v>
      </c>
      <c r="O61" s="26">
        <f>O56/AVERAGE(N42:O42)</f>
        <v>0.13136467280017994</v>
      </c>
      <c r="P61" s="26">
        <f>P56/AVERAGE(O42:P42)</f>
        <v>0.1069120602978654</v>
      </c>
      <c r="Q61" s="26">
        <f>Q56/AVERAGE(P42:Q42)</f>
        <v>0.1977799461379337</v>
      </c>
      <c r="R61" s="26">
        <f>R56*2/AVERAGE(Q42:R42)</f>
        <v>0.21510937039536851</v>
      </c>
      <c r="T61" s="169"/>
      <c r="AG61" s="26"/>
      <c r="AH61" s="26"/>
    </row>
    <row r="62" spans="2:35" x14ac:dyDescent="0.25">
      <c r="C62" t="s">
        <v>11</v>
      </c>
      <c r="L62" s="26"/>
      <c r="M62" s="26">
        <f t="shared" ref="M62" si="10">M56/AVERAGE(L$32:M$32)</f>
        <v>2.9370641795182083E-2</v>
      </c>
      <c r="N62" s="26">
        <f>N56/AVERAGE(M$32:N$32)</f>
        <v>1.0700286190927473E-2</v>
      </c>
      <c r="O62" s="26">
        <f>O56/AVERAGE(N$32:O$32)</f>
        <v>1.5524107246378404E-2</v>
      </c>
      <c r="P62" s="26">
        <f>P56/AVERAGE(O$32:P$32)</f>
        <v>1.4372215287847944E-2</v>
      </c>
      <c r="Q62" s="26">
        <f>Q56/AVERAGE(P$32:Q$32)</f>
        <v>2.4372696415799741E-2</v>
      </c>
      <c r="R62" s="26">
        <f>R56*2/AVERAGE(Q$32:R$32)</f>
        <v>2.8238098728570079E-2</v>
      </c>
      <c r="AG62" s="26"/>
      <c r="AH62" s="26"/>
    </row>
    <row r="63" spans="2:35" x14ac:dyDescent="0.25">
      <c r="C63" s="27" t="s">
        <v>49</v>
      </c>
      <c r="D63" s="27"/>
      <c r="E63" s="27"/>
      <c r="F63" s="27"/>
      <c r="G63" s="27"/>
      <c r="H63" s="27"/>
      <c r="I63" s="27"/>
      <c r="J63" s="27"/>
      <c r="K63" s="27"/>
      <c r="L63" s="29"/>
      <c r="M63" s="29">
        <f t="shared" ref="M63:Q64" si="11">M48/AVERAGE(L$32:M$32)</f>
        <v>7.7685730374052755E-2</v>
      </c>
      <c r="N63" s="29">
        <f t="shared" si="11"/>
        <v>4.9686768841766954E-2</v>
      </c>
      <c r="O63" s="29">
        <f t="shared" si="11"/>
        <v>5.9755801815573883E-2</v>
      </c>
      <c r="P63" s="29">
        <f t="shared" si="11"/>
        <v>6.3270534350998983E-2</v>
      </c>
      <c r="Q63" s="29">
        <f t="shared" si="11"/>
        <v>7.0795679910213766E-2</v>
      </c>
      <c r="R63" s="29">
        <f>R48*2/AVERAGE(Q$32:R$32)</f>
        <v>6.9493818631667897E-2</v>
      </c>
    </row>
    <row r="64" spans="2:35" x14ac:dyDescent="0.25">
      <c r="C64" t="s">
        <v>50</v>
      </c>
      <c r="L64" s="26"/>
      <c r="M64" s="26">
        <f t="shared" si="11"/>
        <v>3.110918430606412E-2</v>
      </c>
      <c r="N64" s="26">
        <f t="shared" si="11"/>
        <v>3.8959326245155294E-2</v>
      </c>
      <c r="O64" s="26">
        <f t="shared" si="11"/>
        <v>4.7404397182840098E-2</v>
      </c>
      <c r="P64" s="26">
        <f t="shared" si="11"/>
        <v>4.9958992229046449E-2</v>
      </c>
      <c r="Q64" s="26">
        <f t="shared" si="11"/>
        <v>5.8314767008396974E-2</v>
      </c>
      <c r="R64" s="26">
        <f>R49*2/AVERAGE(Q$32:R$32)</f>
        <v>5.8369668711229561E-2</v>
      </c>
    </row>
    <row r="65" spans="1:33" x14ac:dyDescent="0.25">
      <c r="C65" t="s">
        <v>51</v>
      </c>
      <c r="L65" s="26"/>
      <c r="M65" s="26">
        <f t="shared" ref="M65" si="12">-M52/M48</f>
        <v>0.52664912346609349</v>
      </c>
      <c r="N65" s="26">
        <f>-N52/N48</f>
        <v>0.61024536672915852</v>
      </c>
      <c r="O65" s="26">
        <f>-O52/O48</f>
        <v>0.47465242149741327</v>
      </c>
      <c r="P65" s="26">
        <f>-P52/P48</f>
        <v>0.37247624428751341</v>
      </c>
      <c r="Q65" s="26">
        <f>-Q52/Q48</f>
        <v>0.34712001192618808</v>
      </c>
      <c r="R65" s="26">
        <f>-R52/R48</f>
        <v>0.32836621167367913</v>
      </c>
    </row>
    <row r="66" spans="1:33" x14ac:dyDescent="0.25">
      <c r="C66" s="27" t="s">
        <v>52</v>
      </c>
      <c r="D66" s="27"/>
      <c r="E66" s="27"/>
      <c r="F66" s="27"/>
      <c r="G66" s="27"/>
      <c r="H66" s="27"/>
      <c r="I66" s="27"/>
      <c r="J66" s="27"/>
      <c r="K66" s="27"/>
      <c r="L66" s="29"/>
      <c r="M66" s="29">
        <f t="shared" ref="M66:Q67" si="13">-M52/AVERAGE(L$32:M$32)</f>
        <v>4.091312180731816E-2</v>
      </c>
      <c r="N66" s="29">
        <f t="shared" si="13"/>
        <v>3.0321120473431003E-2</v>
      </c>
      <c r="O66" s="29">
        <f t="shared" si="13"/>
        <v>2.836323603028167E-2</v>
      </c>
      <c r="P66" s="29">
        <f t="shared" si="13"/>
        <v>2.3566771009124209E-2</v>
      </c>
      <c r="Q66" s="29">
        <f t="shared" si="13"/>
        <v>2.4574597254755994E-2</v>
      </c>
      <c r="R66" s="29">
        <f>-R52*2/AVERAGE(Q$32:R$32)</f>
        <v>2.2819421958818524E-2</v>
      </c>
    </row>
    <row r="67" spans="1:33" x14ac:dyDescent="0.25">
      <c r="C67" t="s">
        <v>53</v>
      </c>
      <c r="L67" s="26"/>
      <c r="M67" s="26">
        <f t="shared" si="13"/>
        <v>4.7289753453337285E-3</v>
      </c>
      <c r="N67" s="26">
        <f t="shared" si="13"/>
        <v>5.7552913784926635E-3</v>
      </c>
      <c r="O67" s="26">
        <f t="shared" si="13"/>
        <v>1.2586039742168802E-2</v>
      </c>
      <c r="P67" s="26">
        <f t="shared" si="13"/>
        <v>2.1602486645613938E-2</v>
      </c>
      <c r="Q67" s="26">
        <f t="shared" si="13"/>
        <v>1.6252330424492666E-2</v>
      </c>
      <c r="R67" s="26">
        <f>-R53*2/AVERAGE(Q$32:R$32)</f>
        <v>1.0394957012371309E-2</v>
      </c>
    </row>
    <row r="68" spans="1:33" x14ac:dyDescent="0.25">
      <c r="C68" t="s">
        <v>54</v>
      </c>
      <c r="L68" s="26"/>
      <c r="M68" s="170">
        <f>(M34+M37)/M38</f>
        <v>1.8701079783539918</v>
      </c>
      <c r="N68" s="170">
        <f t="shared" ref="N68:R68" si="14">(N34+N37)/N38</f>
        <v>2.4818772228808328</v>
      </c>
      <c r="O68" s="170">
        <f t="shared" si="14"/>
        <v>2.5000577767433545</v>
      </c>
      <c r="P68" s="170">
        <f t="shared" si="14"/>
        <v>2.6430287912191228</v>
      </c>
      <c r="Q68" s="170">
        <f t="shared" si="14"/>
        <v>2.1466135329576321</v>
      </c>
      <c r="R68" s="170">
        <f t="shared" si="14"/>
        <v>2.7521027253651313</v>
      </c>
    </row>
    <row r="70" spans="1:33" x14ac:dyDescent="0.25">
      <c r="B70" s="34" t="s">
        <v>5</v>
      </c>
      <c r="C70" s="35"/>
      <c r="D70" s="35"/>
      <c r="E70" s="35"/>
      <c r="F70" s="35"/>
      <c r="G70" s="35"/>
      <c r="H70" s="35"/>
      <c r="I70" s="35"/>
      <c r="J70" s="35"/>
      <c r="K70" s="35"/>
      <c r="L70" s="35"/>
      <c r="M70" s="55">
        <f>M60</f>
        <v>2017</v>
      </c>
      <c r="N70" s="55">
        <f>N60</f>
        <v>2018</v>
      </c>
      <c r="O70" s="55">
        <f>O60</f>
        <v>2019</v>
      </c>
      <c r="P70" s="53">
        <v>2020</v>
      </c>
      <c r="Q70" s="53">
        <v>2021</v>
      </c>
      <c r="R70" s="53" t="s">
        <v>271</v>
      </c>
    </row>
    <row r="71" spans="1:33" hidden="1" x14ac:dyDescent="0.25">
      <c r="C71" t="s">
        <v>42</v>
      </c>
      <c r="M71" s="7"/>
      <c r="N71" s="7"/>
      <c r="O71" s="7"/>
      <c r="P71" s="7"/>
      <c r="Q71" s="7"/>
      <c r="R71" s="7"/>
    </row>
    <row r="72" spans="1:33" x14ac:dyDescent="0.25">
      <c r="C72" t="s">
        <v>6</v>
      </c>
      <c r="M72" s="7">
        <v>5305</v>
      </c>
      <c r="N72" s="7">
        <v>5334</v>
      </c>
      <c r="O72" s="7">
        <v>4601</v>
      </c>
      <c r="P72" s="7">
        <v>4087</v>
      </c>
      <c r="Q72" s="7">
        <v>4003</v>
      </c>
      <c r="R72" s="7">
        <v>4039</v>
      </c>
    </row>
    <row r="73" spans="1:33" x14ac:dyDescent="0.25">
      <c r="C73" s="35" t="s">
        <v>7</v>
      </c>
      <c r="D73" s="35"/>
      <c r="E73" s="35"/>
      <c r="F73" s="35"/>
      <c r="G73" s="35"/>
      <c r="H73" s="35"/>
      <c r="I73" s="35"/>
      <c r="J73" s="35"/>
      <c r="K73" s="35"/>
      <c r="L73" s="35"/>
      <c r="M73" s="171">
        <v>38</v>
      </c>
      <c r="N73" s="171">
        <v>39</v>
      </c>
      <c r="O73" s="171">
        <v>39</v>
      </c>
      <c r="P73" s="7">
        <v>39</v>
      </c>
      <c r="Q73" s="7">
        <v>39</v>
      </c>
      <c r="R73" s="7">
        <v>39</v>
      </c>
    </row>
    <row r="74" spans="1:33" hidden="1" x14ac:dyDescent="0.25">
      <c r="C74" t="s">
        <v>43</v>
      </c>
      <c r="M74" s="7">
        <v>1894.2860000000001</v>
      </c>
      <c r="N74" s="7">
        <v>1455.672</v>
      </c>
      <c r="O74" s="7">
        <v>1938.1959999999999</v>
      </c>
      <c r="P74" s="172"/>
    </row>
    <row r="75" spans="1:33" x14ac:dyDescent="0.25">
      <c r="AE75" s="175">
        <v>44907</v>
      </c>
      <c r="AF75" s="175"/>
      <c r="AG75" s="175"/>
    </row>
    <row r="76" spans="1:33" x14ac:dyDescent="0.25">
      <c r="A76" s="52" t="s">
        <v>107</v>
      </c>
    </row>
    <row r="77" spans="1:33" x14ac:dyDescent="0.25">
      <c r="A77" s="52" t="s">
        <v>83</v>
      </c>
    </row>
  </sheetData>
  <mergeCells count="8">
    <mergeCell ref="AE75:AG75"/>
    <mergeCell ref="C15:E15"/>
    <mergeCell ref="L30:R30"/>
    <mergeCell ref="T30:Z30"/>
    <mergeCell ref="AB30:AH30"/>
    <mergeCell ref="L46:Q46"/>
    <mergeCell ref="T46:Y46"/>
    <mergeCell ref="AB46:AG46"/>
  </mergeCells>
  <hyperlinks>
    <hyperlink ref="J28" r:id="rId1" xr:uid="{8F01C63C-1A35-4D55-9266-40F42F3E2907}"/>
    <hyperlink ref="J13" r:id="rId2" xr:uid="{9D2A6CC2-8834-4CF9-8F5D-BD75DDEFFE6E}"/>
    <hyperlink ref="K10" r:id="rId3" xr:uid="{580AC164-EB54-46E8-BF8B-693E82B9078A}"/>
  </hyperlinks>
  <pageMargins left="0.39370078740157483" right="0.31496062992125984" top="0.39370078740157483" bottom="0.31496062992125984" header="0.31496062992125984" footer="0.31496062992125984"/>
  <pageSetup paperSize="9" scale="46"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8"/>
  <sheetViews>
    <sheetView tabSelected="1" view="pageBreakPreview" zoomScaleNormal="100" zoomScaleSheetLayoutView="100" workbookViewId="0">
      <pane ySplit="2" topLeftCell="A3" activePane="bottomLeft" state="frozen"/>
      <selection activeCell="S28" sqref="S27:S28"/>
      <selection pane="bottomLeft" activeCell="M1" sqref="M1"/>
    </sheetView>
  </sheetViews>
  <sheetFormatPr defaultRowHeight="15" outlineLevelRow="1" x14ac:dyDescent="0.25"/>
  <cols>
    <col min="1" max="2" width="4.42578125" customWidth="1"/>
    <col min="3" max="3" width="3.42578125" customWidth="1"/>
    <col min="4" max="8" width="4.42578125" customWidth="1"/>
    <col min="9" max="9" width="6.28515625" customWidth="1"/>
    <col min="10" max="10" width="5" customWidth="1"/>
    <col min="11" max="11" width="7.140625" customWidth="1"/>
    <col min="12" max="14" width="7" customWidth="1"/>
    <col min="15" max="15" width="7.7109375" customWidth="1"/>
    <col min="16" max="17" width="7.140625" customWidth="1"/>
    <col min="18" max="20" width="7" customWidth="1"/>
    <col min="21" max="21" width="7.7109375" customWidth="1"/>
    <col min="22" max="22" width="7.5703125" bestFit="1" customWidth="1"/>
    <col min="23" max="23" width="7.28515625" bestFit="1" customWidth="1"/>
    <col min="24" max="24" width="4.140625" customWidth="1"/>
  </cols>
  <sheetData>
    <row r="1" spans="1:22" ht="18.75" x14ac:dyDescent="0.3">
      <c r="A1" s="41" t="s">
        <v>191</v>
      </c>
    </row>
    <row r="3" spans="1:22" x14ac:dyDescent="0.25">
      <c r="A3" t="s">
        <v>0</v>
      </c>
      <c r="K3" s="57" t="s">
        <v>192</v>
      </c>
      <c r="S3" s="1"/>
      <c r="T3" s="1"/>
      <c r="U3" s="1"/>
      <c r="V3" s="1"/>
    </row>
    <row r="4" spans="1:22" x14ac:dyDescent="0.25">
      <c r="A4" t="s">
        <v>88</v>
      </c>
      <c r="K4" s="3" t="s">
        <v>238</v>
      </c>
      <c r="O4" s="3"/>
      <c r="Q4" s="3"/>
      <c r="R4" s="3"/>
      <c r="S4" s="3"/>
      <c r="T4" s="3"/>
    </row>
    <row r="5" spans="1:22" x14ac:dyDescent="0.25">
      <c r="A5" t="s">
        <v>1</v>
      </c>
      <c r="K5" s="12" t="s">
        <v>93</v>
      </c>
    </row>
    <row r="6" spans="1:22" x14ac:dyDescent="0.25">
      <c r="A6" t="s">
        <v>2</v>
      </c>
      <c r="K6" s="12" t="s">
        <v>193</v>
      </c>
    </row>
    <row r="7" spans="1:22" x14ac:dyDescent="0.25">
      <c r="A7" t="s">
        <v>4</v>
      </c>
      <c r="K7" s="63">
        <v>1</v>
      </c>
      <c r="M7" s="4"/>
      <c r="N7" s="4"/>
      <c r="O7" s="4"/>
      <c r="P7" s="4"/>
      <c r="S7" s="4"/>
      <c r="T7" s="4"/>
      <c r="U7" s="4"/>
      <c r="V7" s="4"/>
    </row>
    <row r="8" spans="1:22" x14ac:dyDescent="0.25">
      <c r="A8" t="s">
        <v>84</v>
      </c>
      <c r="K8" s="105" t="s">
        <v>194</v>
      </c>
      <c r="M8" s="4"/>
      <c r="N8" s="4"/>
      <c r="O8" s="4"/>
      <c r="P8" s="4"/>
      <c r="S8" s="4"/>
      <c r="T8" s="4"/>
      <c r="U8" s="4"/>
      <c r="V8" s="4"/>
    </row>
    <row r="9" spans="1:22" x14ac:dyDescent="0.25">
      <c r="A9" t="s">
        <v>185</v>
      </c>
      <c r="K9" s="57" t="s">
        <v>282</v>
      </c>
    </row>
    <row r="10" spans="1:22" ht="8.4499999999999993" customHeight="1" x14ac:dyDescent="0.25">
      <c r="S10" s="64"/>
      <c r="T10" s="64"/>
      <c r="U10" s="64"/>
      <c r="V10" s="64"/>
    </row>
    <row r="11" spans="1:22" s="12" customFormat="1" x14ac:dyDescent="0.25">
      <c r="A11" s="90" t="s">
        <v>283</v>
      </c>
      <c r="S11" s="174"/>
      <c r="T11" s="174"/>
      <c r="U11" s="174"/>
      <c r="V11" s="174"/>
    </row>
    <row r="12" spans="1:22" s="13" customFormat="1" ht="12" x14ac:dyDescent="0.2">
      <c r="A12" s="120" t="s">
        <v>284</v>
      </c>
      <c r="B12" s="120"/>
      <c r="C12" s="120"/>
      <c r="D12" s="120"/>
      <c r="E12" s="120"/>
      <c r="F12" s="120"/>
      <c r="G12" s="120"/>
      <c r="I12" s="120"/>
      <c r="K12" s="120"/>
      <c r="L12" s="120"/>
      <c r="M12" s="120"/>
      <c r="N12" s="120"/>
      <c r="O12" s="120"/>
      <c r="P12" s="120"/>
      <c r="Q12" s="120"/>
      <c r="R12" s="120"/>
    </row>
    <row r="13" spans="1:22" ht="12" customHeight="1" x14ac:dyDescent="0.25">
      <c r="A13" s="46" t="s">
        <v>285</v>
      </c>
      <c r="B13" s="12"/>
      <c r="C13" s="12"/>
      <c r="D13" s="12"/>
      <c r="E13" s="12"/>
      <c r="F13" s="12"/>
      <c r="G13" s="12"/>
      <c r="H13" s="12"/>
      <c r="I13" s="12"/>
      <c r="J13" s="12"/>
      <c r="K13" s="46"/>
      <c r="L13" s="12"/>
      <c r="M13" s="12"/>
      <c r="N13" s="12"/>
      <c r="O13" s="12"/>
      <c r="P13" s="12"/>
      <c r="Q13" s="12"/>
      <c r="R13" s="12"/>
    </row>
    <row r="14" spans="1:22" s="13" customFormat="1" ht="12" x14ac:dyDescent="0.2">
      <c r="A14" s="120" t="s">
        <v>286</v>
      </c>
      <c r="B14" s="120"/>
      <c r="C14" s="120"/>
      <c r="D14" s="120"/>
      <c r="E14" s="120"/>
      <c r="F14" s="120"/>
      <c r="G14" s="120"/>
      <c r="I14" s="120"/>
      <c r="K14" s="120"/>
      <c r="L14" s="120"/>
      <c r="M14" s="120"/>
      <c r="N14" s="120"/>
      <c r="O14" s="120"/>
      <c r="P14" s="120"/>
      <c r="Q14" s="120"/>
      <c r="R14" s="120"/>
    </row>
    <row r="15" spans="1:22" ht="8.4499999999999993" customHeight="1" x14ac:dyDescent="0.25">
      <c r="A15" s="12"/>
      <c r="B15" s="12"/>
      <c r="C15" s="12"/>
      <c r="D15" s="12"/>
      <c r="E15" s="12"/>
      <c r="F15" s="12"/>
      <c r="G15" s="12"/>
      <c r="H15" s="12"/>
      <c r="I15" s="12"/>
      <c r="J15" s="12"/>
      <c r="K15" s="46"/>
      <c r="L15" s="12"/>
      <c r="M15" s="12"/>
      <c r="N15" s="12"/>
      <c r="O15" s="12"/>
      <c r="P15" s="12"/>
      <c r="Q15" s="12"/>
      <c r="R15" s="12"/>
    </row>
    <row r="16" spans="1:22" ht="15" customHeight="1" x14ac:dyDescent="0.25">
      <c r="A16" s="95"/>
      <c r="B16" s="96" t="s">
        <v>48</v>
      </c>
      <c r="C16" s="180" t="s">
        <v>30</v>
      </c>
      <c r="D16" s="180"/>
      <c r="E16" s="180"/>
      <c r="F16" s="96"/>
      <c r="G16" s="96"/>
      <c r="H16" s="96"/>
      <c r="I16" s="96"/>
      <c r="J16" s="96"/>
      <c r="K16" s="106"/>
      <c r="M16" s="97" t="s">
        <v>12</v>
      </c>
      <c r="N16" s="12"/>
      <c r="O16" s="40" t="s">
        <v>45</v>
      </c>
      <c r="P16" s="12"/>
      <c r="Q16" s="12"/>
      <c r="R16" s="12"/>
      <c r="V16" s="12"/>
    </row>
    <row r="17" spans="1:23" ht="15" customHeight="1" x14ac:dyDescent="0.25">
      <c r="A17" s="95"/>
      <c r="B17" s="107">
        <v>1</v>
      </c>
      <c r="C17" s="108" t="s">
        <v>195</v>
      </c>
      <c r="D17" s="109"/>
      <c r="E17" s="109"/>
      <c r="F17" s="107"/>
      <c r="G17" s="107"/>
      <c r="H17" s="107"/>
      <c r="I17" s="107"/>
      <c r="J17" s="107"/>
      <c r="K17" s="107"/>
      <c r="L17" s="110"/>
      <c r="M17" s="110">
        <f>+M19+M20</f>
        <v>14367.857749000001</v>
      </c>
      <c r="N17" s="108"/>
      <c r="O17" s="111">
        <f>+O19+O20</f>
        <v>0.28937117838153548</v>
      </c>
      <c r="P17" s="12"/>
      <c r="Q17" s="12"/>
      <c r="R17" s="12"/>
      <c r="V17" s="12"/>
    </row>
    <row r="18" spans="1:23" x14ac:dyDescent="0.25">
      <c r="A18" s="95"/>
      <c r="B18" s="42">
        <v>1</v>
      </c>
      <c r="C18" s="12" t="s">
        <v>196</v>
      </c>
      <c r="D18" s="12"/>
      <c r="E18" s="12"/>
      <c r="F18" s="12"/>
      <c r="G18" s="12"/>
      <c r="H18" s="12"/>
      <c r="I18" s="12"/>
      <c r="J18" s="12"/>
      <c r="K18" s="12"/>
      <c r="L18" s="6"/>
      <c r="M18" s="6">
        <v>13358.305071000001</v>
      </c>
      <c r="N18" s="6"/>
      <c r="O18" s="66">
        <v>0.2690386101466205</v>
      </c>
      <c r="P18" s="12"/>
      <c r="Q18" s="12"/>
      <c r="R18" s="12"/>
    </row>
    <row r="19" spans="1:23" x14ac:dyDescent="0.25">
      <c r="A19" s="95"/>
      <c r="B19" s="15">
        <v>2</v>
      </c>
      <c r="C19" s="16" t="s">
        <v>197</v>
      </c>
      <c r="D19" s="16"/>
      <c r="E19" s="16"/>
      <c r="F19" s="16"/>
      <c r="G19" s="16"/>
      <c r="H19" s="16"/>
      <c r="I19" s="16"/>
      <c r="J19" s="16"/>
      <c r="K19" s="16"/>
      <c r="L19" s="17"/>
      <c r="M19" s="17">
        <v>10288.332630000001</v>
      </c>
      <c r="N19" s="16"/>
      <c r="O19" s="68">
        <v>0.20720882602916299</v>
      </c>
      <c r="P19" s="12"/>
      <c r="Q19" s="12"/>
      <c r="R19" s="12"/>
    </row>
    <row r="20" spans="1:23" x14ac:dyDescent="0.25">
      <c r="A20" s="95"/>
      <c r="B20" s="15">
        <v>3</v>
      </c>
      <c r="C20" s="16" t="s">
        <v>198</v>
      </c>
      <c r="D20" s="16"/>
      <c r="E20" s="16"/>
      <c r="F20" s="16"/>
      <c r="G20" s="16"/>
      <c r="H20" s="16"/>
      <c r="I20" s="16"/>
      <c r="J20" s="16"/>
      <c r="K20" s="16"/>
      <c r="L20" s="17"/>
      <c r="M20" s="17">
        <v>4079.5251189999999</v>
      </c>
      <c r="N20" s="17"/>
      <c r="O20" s="68">
        <v>8.2162352352372514E-2</v>
      </c>
      <c r="P20" s="12"/>
      <c r="Q20" s="12"/>
      <c r="R20" s="12"/>
    </row>
    <row r="21" spans="1:23" x14ac:dyDescent="0.25">
      <c r="A21" s="95"/>
      <c r="B21" s="42">
        <v>4</v>
      </c>
      <c r="C21" s="12" t="s">
        <v>200</v>
      </c>
      <c r="D21" s="12"/>
      <c r="E21" s="12"/>
      <c r="F21" s="12"/>
      <c r="G21" s="12"/>
      <c r="H21" s="12"/>
      <c r="I21" s="12"/>
      <c r="J21" s="12"/>
      <c r="K21" s="12"/>
      <c r="L21" s="6"/>
      <c r="M21" s="6">
        <v>3768.406516</v>
      </c>
      <c r="N21" s="12"/>
      <c r="O21" s="66">
        <v>7.5896369048578105E-2</v>
      </c>
      <c r="P21" s="12"/>
      <c r="Q21" s="12"/>
      <c r="R21" s="12"/>
    </row>
    <row r="22" spans="1:23" x14ac:dyDescent="0.25">
      <c r="A22" s="95"/>
      <c r="B22" s="42">
        <v>5</v>
      </c>
      <c r="C22" s="12" t="s">
        <v>199</v>
      </c>
      <c r="D22" s="12"/>
      <c r="E22" s="12"/>
      <c r="F22" s="12"/>
      <c r="G22" s="12"/>
      <c r="H22" s="12"/>
      <c r="I22" s="12"/>
      <c r="J22" s="12"/>
      <c r="K22" s="12"/>
      <c r="L22" s="6"/>
      <c r="M22" s="6">
        <v>3419.2998269999998</v>
      </c>
      <c r="N22" s="12"/>
      <c r="O22" s="66">
        <v>6.8865299021187459E-2</v>
      </c>
      <c r="P22" s="66"/>
      <c r="Q22" s="12"/>
      <c r="R22" s="12"/>
    </row>
    <row r="23" spans="1:23" hidden="1" outlineLevel="1" x14ac:dyDescent="0.25">
      <c r="A23" s="95"/>
      <c r="B23" s="42">
        <v>6</v>
      </c>
      <c r="C23" s="12" t="s">
        <v>201</v>
      </c>
      <c r="D23" s="12"/>
      <c r="E23" s="12"/>
      <c r="F23" s="12"/>
      <c r="G23" s="12"/>
      <c r="H23" s="12"/>
      <c r="I23" s="12"/>
      <c r="J23" s="12"/>
      <c r="K23" s="12"/>
      <c r="L23" s="6"/>
      <c r="M23" s="6">
        <v>2138</v>
      </c>
      <c r="N23" s="12"/>
      <c r="O23" s="66">
        <v>4.7882466238158158E-2</v>
      </c>
      <c r="P23" s="66"/>
      <c r="Q23" s="12"/>
      <c r="R23" s="12"/>
    </row>
    <row r="24" spans="1:23" hidden="1" outlineLevel="1" x14ac:dyDescent="0.25">
      <c r="A24" s="95"/>
      <c r="B24" s="42">
        <v>7</v>
      </c>
      <c r="C24" s="12" t="s">
        <v>202</v>
      </c>
      <c r="D24" s="12"/>
      <c r="E24" s="12"/>
      <c r="F24" s="12"/>
      <c r="G24" s="12"/>
      <c r="H24" s="12"/>
      <c r="I24" s="12"/>
      <c r="J24" s="12"/>
      <c r="K24" s="12"/>
      <c r="L24" s="6"/>
      <c r="M24" s="6">
        <v>1839</v>
      </c>
      <c r="N24" s="12"/>
      <c r="O24" s="66">
        <v>4.1186087657611253E-2</v>
      </c>
      <c r="P24" s="66"/>
      <c r="Q24" s="12"/>
      <c r="R24" s="12"/>
    </row>
    <row r="25" spans="1:23" ht="9.6" customHeight="1" collapsed="1" x14ac:dyDescent="0.25"/>
    <row r="26" spans="1:23" x14ac:dyDescent="0.25">
      <c r="A26" s="95" t="s">
        <v>203</v>
      </c>
      <c r="B26" s="12"/>
      <c r="C26" s="12"/>
      <c r="D26" s="12"/>
      <c r="E26" s="12"/>
      <c r="F26" s="12"/>
      <c r="G26" s="12"/>
      <c r="H26" s="12"/>
      <c r="I26" s="12"/>
      <c r="J26" s="12"/>
      <c r="K26" s="12"/>
      <c r="L26" s="12"/>
      <c r="M26" s="12"/>
      <c r="N26" s="12"/>
      <c r="O26" s="12"/>
      <c r="P26" s="12"/>
      <c r="Q26" s="12"/>
      <c r="R26" s="12"/>
      <c r="S26" s="12"/>
    </row>
    <row r="27" spans="1:23" x14ac:dyDescent="0.25">
      <c r="A27" s="112" t="s">
        <v>222</v>
      </c>
      <c r="B27" s="12"/>
      <c r="C27" s="12"/>
      <c r="D27" s="12"/>
      <c r="E27" s="12"/>
      <c r="F27" s="12"/>
      <c r="G27" s="12"/>
      <c r="H27" s="12"/>
      <c r="I27" s="12"/>
      <c r="J27" s="46" t="s">
        <v>204</v>
      </c>
      <c r="K27" s="12"/>
      <c r="L27" s="12"/>
      <c r="M27" s="12"/>
      <c r="N27" s="12"/>
      <c r="O27" s="12"/>
      <c r="P27" s="12"/>
      <c r="Q27" s="12"/>
      <c r="R27" s="12"/>
      <c r="S27" s="12"/>
    </row>
    <row r="28" spans="1:23" ht="6" customHeight="1" x14ac:dyDescent="0.25">
      <c r="K28" s="5"/>
    </row>
    <row r="29" spans="1:23" x14ac:dyDescent="0.25">
      <c r="B29" s="12" t="s">
        <v>223</v>
      </c>
      <c r="K29" s="5"/>
    </row>
    <row r="30" spans="1:23" ht="4.9000000000000004" customHeight="1" x14ac:dyDescent="0.25">
      <c r="B30" s="12"/>
      <c r="K30" s="5"/>
    </row>
    <row r="31" spans="1:23" x14ac:dyDescent="0.25">
      <c r="K31" s="181" t="s">
        <v>47</v>
      </c>
      <c r="L31" s="181"/>
      <c r="M31" s="181"/>
      <c r="N31" s="181"/>
      <c r="O31" s="181"/>
      <c r="P31" s="181"/>
      <c r="R31" s="181" t="s">
        <v>102</v>
      </c>
      <c r="S31" s="181"/>
      <c r="T31" s="181"/>
      <c r="U31" s="181"/>
      <c r="V31" s="181"/>
      <c r="W31" s="181"/>
    </row>
    <row r="32" spans="1:23" x14ac:dyDescent="0.25">
      <c r="B32" s="30" t="s">
        <v>81</v>
      </c>
      <c r="C32" s="27"/>
      <c r="D32" s="27"/>
      <c r="E32" s="27"/>
      <c r="F32" s="27"/>
      <c r="G32" s="27"/>
      <c r="H32" s="27"/>
      <c r="I32" s="27"/>
      <c r="J32" s="27"/>
      <c r="K32" s="53">
        <v>2017</v>
      </c>
      <c r="L32" s="53">
        <v>2018</v>
      </c>
      <c r="M32" s="53">
        <v>2019</v>
      </c>
      <c r="N32" s="53">
        <v>2020</v>
      </c>
      <c r="O32" s="53"/>
      <c r="P32" s="53">
        <v>2021</v>
      </c>
      <c r="Q32" s="115"/>
      <c r="R32" s="53">
        <v>2017</v>
      </c>
      <c r="S32" s="53">
        <v>2018</v>
      </c>
      <c r="T32" s="53">
        <v>2019</v>
      </c>
      <c r="U32" s="53">
        <v>2020</v>
      </c>
      <c r="V32" s="53"/>
      <c r="W32" s="53">
        <v>2021</v>
      </c>
    </row>
    <row r="33" spans="2:23" x14ac:dyDescent="0.25">
      <c r="C33" t="s">
        <v>12</v>
      </c>
      <c r="K33" s="7">
        <v>4929.8289999999997</v>
      </c>
      <c r="L33" s="7">
        <v>4998.1369999999997</v>
      </c>
      <c r="M33" s="7">
        <v>5016.0280000000002</v>
      </c>
      <c r="N33" s="7">
        <v>9176.8690000000006</v>
      </c>
      <c r="O33" s="7"/>
      <c r="P33" s="7">
        <v>9958.393</v>
      </c>
      <c r="Q33" s="31"/>
      <c r="R33" s="7">
        <f>(K33*K$43)/1000</f>
        <v>1528.93716606</v>
      </c>
      <c r="S33" s="7">
        <f>(L33*L$43)/1000</f>
        <v>1606.9510268699999</v>
      </c>
      <c r="T33" s="7">
        <f>(M33*M$43)/1000</f>
        <v>1657.8975745600001</v>
      </c>
      <c r="U33" s="7">
        <f>(N33*N$43)/1000</f>
        <v>3350.7501779700001</v>
      </c>
      <c r="V33" s="7"/>
      <c r="W33" s="7">
        <f t="shared" ref="W33:W42" si="0">(P33*O$43)/1000</f>
        <v>3674.6470169999998</v>
      </c>
    </row>
    <row r="34" spans="2:23" x14ac:dyDescent="0.25">
      <c r="C34" t="s">
        <v>13</v>
      </c>
      <c r="K34" s="7">
        <v>1729.0419999999999</v>
      </c>
      <c r="L34" s="7">
        <v>1565.5160000000001</v>
      </c>
      <c r="M34" s="7">
        <v>1210.1559999999999</v>
      </c>
      <c r="N34" s="7">
        <v>2151.8879999999999</v>
      </c>
      <c r="O34" s="7"/>
      <c r="P34" s="7">
        <v>1922.366</v>
      </c>
      <c r="Q34" s="31"/>
      <c r="R34" s="7">
        <f t="shared" ref="R34:S42" si="1">(K34*K$43)/1000</f>
        <v>536.24508587999992</v>
      </c>
      <c r="S34" s="7">
        <f t="shared" si="1"/>
        <v>503.32904916000001</v>
      </c>
      <c r="T34" s="7">
        <f t="shared" ref="T34:T42" si="2">(M34*M$43)/1000</f>
        <v>399.98076111999995</v>
      </c>
      <c r="U34" s="7">
        <f t="shared" ref="U34:U42" si="3">(N34*N$43)/1000</f>
        <v>785.71886543999995</v>
      </c>
      <c r="V34" s="7"/>
      <c r="W34" s="7">
        <f t="shared" si="0"/>
        <v>709.35305400000004</v>
      </c>
    </row>
    <row r="35" spans="2:23" x14ac:dyDescent="0.25">
      <c r="C35" s="27" t="s">
        <v>205</v>
      </c>
      <c r="D35" s="27"/>
      <c r="E35" s="27"/>
      <c r="F35" s="27"/>
      <c r="G35" s="27"/>
      <c r="H35" s="27"/>
      <c r="I35" s="27"/>
      <c r="J35" s="27"/>
      <c r="K35" s="28">
        <v>2322.5309999999999</v>
      </c>
      <c r="L35" s="28">
        <v>2544.7449999999999</v>
      </c>
      <c r="M35" s="28">
        <v>2702.7060000000001</v>
      </c>
      <c r="N35" s="28">
        <v>4578.5209999999997</v>
      </c>
      <c r="O35" s="28"/>
      <c r="P35" s="28">
        <v>4771.1220000000003</v>
      </c>
      <c r="Q35" s="31"/>
      <c r="R35" s="28">
        <f t="shared" si="1"/>
        <v>720.30976434000002</v>
      </c>
      <c r="S35" s="28">
        <f t="shared" si="1"/>
        <v>818.16096494999988</v>
      </c>
      <c r="T35" s="28">
        <f t="shared" si="2"/>
        <v>893.29838711999992</v>
      </c>
      <c r="U35" s="28">
        <f t="shared" si="3"/>
        <v>1671.7553727299999</v>
      </c>
      <c r="V35" s="28"/>
      <c r="W35" s="28">
        <f t="shared" si="0"/>
        <v>1760.5440180000001</v>
      </c>
    </row>
    <row r="36" spans="2:23" x14ac:dyDescent="0.25">
      <c r="D36" t="s">
        <v>15</v>
      </c>
      <c r="K36" s="7">
        <v>1065.165</v>
      </c>
      <c r="L36" s="7">
        <v>1093.2239999999999</v>
      </c>
      <c r="M36" s="7">
        <v>1124.818</v>
      </c>
      <c r="N36" s="7">
        <v>1996.9459999999999</v>
      </c>
      <c r="O36" s="7"/>
      <c r="P36" s="7">
        <v>1972.8440000000001</v>
      </c>
      <c r="Q36" s="31"/>
      <c r="R36" s="7">
        <f t="shared" si="1"/>
        <v>330.35027309999998</v>
      </c>
      <c r="S36" s="7">
        <f t="shared" si="1"/>
        <v>351.48244823999994</v>
      </c>
      <c r="T36" s="7">
        <f t="shared" si="2"/>
        <v>371.77484535999997</v>
      </c>
      <c r="U36" s="7">
        <f t="shared" si="3"/>
        <v>729.14489298000001</v>
      </c>
      <c r="V36" s="7"/>
      <c r="W36" s="7">
        <f t="shared" si="0"/>
        <v>727.97943599999996</v>
      </c>
    </row>
    <row r="37" spans="2:23" x14ac:dyDescent="0.25">
      <c r="D37" t="s">
        <v>206</v>
      </c>
      <c r="K37" s="7">
        <v>1257.366</v>
      </c>
      <c r="L37" s="7">
        <v>1451.521</v>
      </c>
      <c r="M37" s="7">
        <v>1577.8880000000001</v>
      </c>
      <c r="N37" s="7">
        <v>2581.5749999999998</v>
      </c>
      <c r="O37" s="7"/>
      <c r="P37" s="7">
        <v>2798.2779999999998</v>
      </c>
      <c r="Q37" s="31"/>
      <c r="R37" s="7">
        <f t="shared" si="1"/>
        <v>389.95949123999998</v>
      </c>
      <c r="S37" s="7">
        <f t="shared" si="1"/>
        <v>466.67851671</v>
      </c>
      <c r="T37" s="7">
        <f t="shared" si="2"/>
        <v>521.52354175999994</v>
      </c>
      <c r="U37" s="7">
        <f t="shared" si="3"/>
        <v>942.61047974999997</v>
      </c>
      <c r="V37" s="7"/>
      <c r="W37" s="7">
        <f t="shared" si="0"/>
        <v>1032.564582</v>
      </c>
    </row>
    <row r="38" spans="2:23" x14ac:dyDescent="0.25">
      <c r="C38" s="27" t="s">
        <v>207</v>
      </c>
      <c r="D38" s="27"/>
      <c r="E38" s="27"/>
      <c r="F38" s="27"/>
      <c r="G38" s="27"/>
      <c r="H38" s="27"/>
      <c r="I38" s="27"/>
      <c r="J38" s="27"/>
      <c r="K38" s="28">
        <v>-439.40499999999997</v>
      </c>
      <c r="L38" s="28">
        <v>-202.71299999999999</v>
      </c>
      <c r="M38" s="28">
        <v>-75.003</v>
      </c>
      <c r="N38" s="28">
        <v>-106.601</v>
      </c>
      <c r="O38" s="28"/>
      <c r="P38" s="28">
        <v>-78.837000000000003</v>
      </c>
      <c r="Q38" s="31"/>
      <c r="R38" s="28">
        <f>(K38*K$43)/1000</f>
        <v>-136.27706670000001</v>
      </c>
      <c r="S38" s="28">
        <f t="shared" si="1"/>
        <v>-65.174256630000002</v>
      </c>
      <c r="T38" s="28">
        <f t="shared" si="2"/>
        <v>-24.789991559999997</v>
      </c>
      <c r="U38" s="28">
        <f t="shared" si="3"/>
        <v>-38.923223129999997</v>
      </c>
      <c r="V38" s="28"/>
      <c r="W38" s="28">
        <f t="shared" si="0"/>
        <v>-29.090853000000003</v>
      </c>
    </row>
    <row r="39" spans="2:23" x14ac:dyDescent="0.25">
      <c r="C39" s="72" t="s">
        <v>17</v>
      </c>
      <c r="D39" s="72"/>
      <c r="E39" s="72"/>
      <c r="F39" s="72"/>
      <c r="G39" s="72"/>
      <c r="H39" s="72"/>
      <c r="I39" s="72"/>
      <c r="J39" s="72"/>
      <c r="K39" s="74">
        <v>3671.799</v>
      </c>
      <c r="L39" s="74">
        <v>3777.3040000000001</v>
      </c>
      <c r="M39" s="74">
        <v>3789.002</v>
      </c>
      <c r="N39" s="74">
        <v>7518.8639999999996</v>
      </c>
      <c r="O39" s="74"/>
      <c r="P39" s="74">
        <v>8179.518</v>
      </c>
      <c r="Q39" s="31"/>
      <c r="R39" s="74">
        <f t="shared" si="1"/>
        <v>1138.77174186</v>
      </c>
      <c r="S39" s="74">
        <f t="shared" si="1"/>
        <v>1214.4410090399999</v>
      </c>
      <c r="T39" s="74">
        <f t="shared" si="2"/>
        <v>1252.34094104</v>
      </c>
      <c r="U39" s="74">
        <f t="shared" si="3"/>
        <v>2745.3628123200001</v>
      </c>
      <c r="V39" s="74"/>
      <c r="W39" s="74">
        <f t="shared" si="0"/>
        <v>3018.2421420000001</v>
      </c>
    </row>
    <row r="40" spans="2:23" x14ac:dyDescent="0.25">
      <c r="C40" s="31"/>
      <c r="D40" s="31" t="s">
        <v>15</v>
      </c>
      <c r="E40" s="31"/>
      <c r="F40" s="31"/>
      <c r="G40" s="31"/>
      <c r="H40" s="31"/>
      <c r="I40" s="31"/>
      <c r="J40" s="31"/>
      <c r="K40" s="25">
        <v>2755.6509999999998</v>
      </c>
      <c r="L40" s="25">
        <v>2802.5520000000001</v>
      </c>
      <c r="M40" s="25">
        <v>2916.404</v>
      </c>
      <c r="N40" s="25">
        <v>5548.6670000000004</v>
      </c>
      <c r="O40" s="25"/>
      <c r="P40" s="25">
        <v>5759.7129999999997</v>
      </c>
      <c r="Q40" s="31"/>
      <c r="R40" s="25">
        <f t="shared" si="1"/>
        <v>854.6376011399999</v>
      </c>
      <c r="S40" s="25">
        <f t="shared" si="1"/>
        <v>901.04849351999997</v>
      </c>
      <c r="T40" s="25">
        <f t="shared" si="2"/>
        <v>963.92985008000005</v>
      </c>
      <c r="U40" s="25">
        <f t="shared" si="3"/>
        <v>2025.9847817100001</v>
      </c>
      <c r="V40" s="25"/>
      <c r="W40" s="25">
        <f t="shared" si="0"/>
        <v>2125.3340969999999</v>
      </c>
    </row>
    <row r="41" spans="2:23" x14ac:dyDescent="0.25">
      <c r="C41" s="27"/>
      <c r="D41" s="27" t="s">
        <v>16</v>
      </c>
      <c r="E41" s="27"/>
      <c r="F41" s="27"/>
      <c r="G41" s="27"/>
      <c r="H41" s="27"/>
      <c r="I41" s="27"/>
      <c r="J41" s="27"/>
      <c r="K41" s="28">
        <v>916.14800000000002</v>
      </c>
      <c r="L41" s="28">
        <v>974.75199999999995</v>
      </c>
      <c r="M41" s="28">
        <v>872.59799999999996</v>
      </c>
      <c r="N41" s="28">
        <v>1970.1969999999992</v>
      </c>
      <c r="O41" s="28"/>
      <c r="P41" s="28">
        <v>2419.8049999999998</v>
      </c>
      <c r="Q41" s="31"/>
      <c r="R41" s="28">
        <f t="shared" si="1"/>
        <v>284.13414071999995</v>
      </c>
      <c r="S41" s="28">
        <f t="shared" si="1"/>
        <v>313.39251551999996</v>
      </c>
      <c r="T41" s="28">
        <f t="shared" si="2"/>
        <v>288.41109095999997</v>
      </c>
      <c r="U41" s="28">
        <f t="shared" si="3"/>
        <v>719.37803060999966</v>
      </c>
      <c r="V41" s="28"/>
      <c r="W41" s="28">
        <f t="shared" si="0"/>
        <v>892.9080449999999</v>
      </c>
    </row>
    <row r="42" spans="2:23" x14ac:dyDescent="0.25">
      <c r="C42" s="72" t="s">
        <v>18</v>
      </c>
      <c r="D42" s="72"/>
      <c r="E42" s="72"/>
      <c r="F42" s="72"/>
      <c r="G42" s="72"/>
      <c r="H42" s="72"/>
      <c r="I42" s="72"/>
      <c r="J42" s="72"/>
      <c r="K42" s="74">
        <v>697.41399999999999</v>
      </c>
      <c r="L42" s="74">
        <v>730.39200000000005</v>
      </c>
      <c r="M42" s="74">
        <v>781.74</v>
      </c>
      <c r="N42" s="74">
        <v>991.28499999999997</v>
      </c>
      <c r="O42" s="74"/>
      <c r="P42" s="74">
        <v>1028.0340000000001</v>
      </c>
      <c r="Q42" s="31"/>
      <c r="R42" s="74">
        <f t="shared" si="1"/>
        <v>216.29597795999999</v>
      </c>
      <c r="S42" s="74">
        <f t="shared" si="1"/>
        <v>234.82833192000001</v>
      </c>
      <c r="T42" s="74">
        <f t="shared" si="2"/>
        <v>258.38070479999999</v>
      </c>
      <c r="U42" s="74">
        <f t="shared" si="3"/>
        <v>361.94789204999995</v>
      </c>
      <c r="V42" s="74"/>
      <c r="W42" s="74">
        <f t="shared" si="0"/>
        <v>379.34454600000004</v>
      </c>
    </row>
    <row r="43" spans="2:23" ht="11.25" hidden="1" customHeight="1" outlineLevel="1" x14ac:dyDescent="0.25">
      <c r="C43" s="13" t="s">
        <v>147</v>
      </c>
      <c r="D43" s="13"/>
      <c r="E43" s="13"/>
      <c r="F43" s="13"/>
      <c r="G43" s="13"/>
      <c r="H43" s="13"/>
      <c r="I43" s="13"/>
      <c r="J43" s="13"/>
      <c r="K43" s="51">
        <v>310.14</v>
      </c>
      <c r="L43" s="51">
        <v>321.51</v>
      </c>
      <c r="M43" s="51">
        <v>330.52</v>
      </c>
      <c r="N43" s="51">
        <v>365.13</v>
      </c>
      <c r="O43" s="32">
        <v>369</v>
      </c>
      <c r="P43" s="32"/>
      <c r="Q43" s="32"/>
      <c r="R43" s="32"/>
      <c r="S43" s="32"/>
      <c r="T43" s="13"/>
      <c r="U43" s="13"/>
      <c r="V43" s="82"/>
      <c r="W43" s="31"/>
    </row>
    <row r="44" spans="2:23" ht="9.6" customHeight="1" collapsed="1" x14ac:dyDescent="0.25">
      <c r="C44" s="13"/>
      <c r="D44" s="13"/>
      <c r="E44" s="13"/>
      <c r="F44" s="13"/>
      <c r="G44" s="13"/>
      <c r="H44" s="13"/>
      <c r="I44" s="13"/>
      <c r="J44" s="13"/>
      <c r="K44" s="50"/>
      <c r="L44" s="114"/>
      <c r="M44" s="114"/>
      <c r="N44" s="114"/>
      <c r="O44" s="32"/>
      <c r="P44" s="32"/>
      <c r="Q44" s="32"/>
      <c r="R44" s="32"/>
      <c r="S44" s="32"/>
      <c r="T44" s="13"/>
      <c r="U44" s="13"/>
      <c r="V44" s="13"/>
      <c r="W44" s="32"/>
    </row>
    <row r="45" spans="2:23" x14ac:dyDescent="0.25">
      <c r="K45" s="181" t="s">
        <v>47</v>
      </c>
      <c r="L45" s="181"/>
      <c r="M45" s="181"/>
      <c r="N45" s="181"/>
      <c r="O45" s="181"/>
      <c r="P45" s="181"/>
      <c r="Q45" s="31"/>
      <c r="R45" s="181" t="s">
        <v>102</v>
      </c>
      <c r="S45" s="181"/>
      <c r="T45" s="181"/>
      <c r="U45" s="181"/>
      <c r="V45" s="181"/>
      <c r="W45" s="181"/>
    </row>
    <row r="46" spans="2:23" x14ac:dyDescent="0.25">
      <c r="B46" s="103" t="s">
        <v>8</v>
      </c>
      <c r="C46" s="31"/>
      <c r="D46" s="31"/>
      <c r="E46" s="31"/>
      <c r="F46" s="31"/>
      <c r="G46" s="31"/>
      <c r="H46" s="31"/>
      <c r="I46" s="31"/>
      <c r="J46" s="31"/>
      <c r="K46" s="82">
        <v>2017</v>
      </c>
      <c r="L46" s="82">
        <v>2018</v>
      </c>
      <c r="M46" s="82">
        <v>2019</v>
      </c>
      <c r="N46" s="82">
        <v>2020</v>
      </c>
      <c r="O46" s="82">
        <v>2020</v>
      </c>
      <c r="P46" s="82">
        <v>2021</v>
      </c>
      <c r="Q46" s="115"/>
      <c r="R46" s="82">
        <f>K46</f>
        <v>2017</v>
      </c>
      <c r="S46" s="82">
        <f t="shared" ref="S46:U46" si="4">L46</f>
        <v>2018</v>
      </c>
      <c r="T46" s="82">
        <f t="shared" si="4"/>
        <v>2019</v>
      </c>
      <c r="U46" s="82">
        <f t="shared" si="4"/>
        <v>2020</v>
      </c>
      <c r="V46" s="82">
        <v>2020</v>
      </c>
      <c r="W46" s="82">
        <f>P32</f>
        <v>2021</v>
      </c>
    </row>
    <row r="47" spans="2:23" ht="13.15" customHeight="1" x14ac:dyDescent="0.25">
      <c r="B47" s="34"/>
      <c r="C47" s="35"/>
      <c r="D47" s="35"/>
      <c r="E47" s="35"/>
      <c r="F47" s="35"/>
      <c r="G47" s="35"/>
      <c r="H47" s="35"/>
      <c r="I47" s="35"/>
      <c r="J47" s="35"/>
      <c r="K47" s="116" t="s">
        <v>208</v>
      </c>
      <c r="L47" s="116" t="s">
        <v>208</v>
      </c>
      <c r="M47" s="116" t="s">
        <v>208</v>
      </c>
      <c r="N47" s="116" t="s">
        <v>208</v>
      </c>
      <c r="O47" s="117" t="s">
        <v>209</v>
      </c>
      <c r="P47" s="116" t="s">
        <v>208</v>
      </c>
      <c r="Q47" s="115"/>
      <c r="R47" s="116" t="s">
        <v>208</v>
      </c>
      <c r="S47" s="116" t="s">
        <v>208</v>
      </c>
      <c r="T47" s="116" t="s">
        <v>208</v>
      </c>
      <c r="U47" s="116" t="s">
        <v>208</v>
      </c>
      <c r="V47" s="117" t="s">
        <v>209</v>
      </c>
      <c r="W47" s="116" t="s">
        <v>208</v>
      </c>
    </row>
    <row r="48" spans="2:23" x14ac:dyDescent="0.25">
      <c r="C48" t="s">
        <v>19</v>
      </c>
      <c r="K48" s="6">
        <f>SUM(K49:K51)</f>
        <v>142.922</v>
      </c>
      <c r="L48" s="6">
        <f>SUM(L49:L51)</f>
        <v>165.09900000000005</v>
      </c>
      <c r="M48" s="6">
        <f>SUM(M49:M51)</f>
        <v>189.35300000000001</v>
      </c>
      <c r="N48" s="6">
        <f>SUM(N49:N51)</f>
        <v>257.54899999999998</v>
      </c>
      <c r="O48" s="6">
        <v>257.54900000000004</v>
      </c>
      <c r="P48" s="6">
        <f>SUM(P49:P51)</f>
        <v>262.67</v>
      </c>
      <c r="Q48" s="31"/>
      <c r="R48" s="6">
        <f t="shared" ref="R48:V60" si="5">(K48*K$61)/1000</f>
        <v>44.193179242868524</v>
      </c>
      <c r="S48" s="6">
        <f t="shared" si="5"/>
        <v>52.644394130286926</v>
      </c>
      <c r="T48" s="6">
        <f t="shared" si="5"/>
        <v>61.605722569919024</v>
      </c>
      <c r="U48" s="6">
        <f t="shared" si="5"/>
        <v>90.442398988968193</v>
      </c>
      <c r="V48" s="6">
        <f>(O48*O$61)/1000</f>
        <v>90.442398988968222</v>
      </c>
      <c r="W48" s="6">
        <f>(P48*P$61)/1000</f>
        <v>94.171835849407216</v>
      </c>
    </row>
    <row r="49" spans="1:25" x14ac:dyDescent="0.25">
      <c r="D49" t="s">
        <v>20</v>
      </c>
      <c r="K49" s="6">
        <v>82.569000000000003</v>
      </c>
      <c r="L49" s="6">
        <v>109.643</v>
      </c>
      <c r="M49" s="6">
        <v>112.712</v>
      </c>
      <c r="N49" s="6">
        <v>154.458</v>
      </c>
      <c r="O49" s="6">
        <v>154.458</v>
      </c>
      <c r="P49" s="6">
        <v>144.226</v>
      </c>
      <c r="Q49" s="31"/>
      <c r="R49" s="6">
        <f t="shared" si="5"/>
        <v>25.531315101274899</v>
      </c>
      <c r="S49" s="6">
        <f t="shared" si="5"/>
        <v>34.961382598483631</v>
      </c>
      <c r="T49" s="6">
        <f t="shared" si="5"/>
        <v>36.670684923400813</v>
      </c>
      <c r="U49" s="6">
        <f t="shared" si="5"/>
        <v>54.240366155714263</v>
      </c>
      <c r="V49" s="6">
        <f t="shared" si="5"/>
        <v>54.240366155714263</v>
      </c>
      <c r="W49" s="6">
        <f t="shared" ref="W49:W60" si="6">(P49*P$61)/1000</f>
        <v>51.707569182687806</v>
      </c>
    </row>
    <row r="50" spans="1:25" x14ac:dyDescent="0.25">
      <c r="C50" s="27"/>
      <c r="D50" s="27" t="s">
        <v>21</v>
      </c>
      <c r="E50" s="27"/>
      <c r="F50" s="27"/>
      <c r="G50" s="27"/>
      <c r="H50" s="27"/>
      <c r="I50" s="27"/>
      <c r="J50" s="27"/>
      <c r="K50" s="28">
        <v>45.456000000000003</v>
      </c>
      <c r="L50" s="28">
        <v>44.08</v>
      </c>
      <c r="M50" s="28">
        <v>41.222999999999999</v>
      </c>
      <c r="N50" s="28">
        <v>73.465000000000003</v>
      </c>
      <c r="O50" s="28">
        <v>73.465000000000003</v>
      </c>
      <c r="P50" s="28">
        <v>86.66</v>
      </c>
      <c r="Q50" s="31"/>
      <c r="R50" s="28">
        <f t="shared" si="5"/>
        <v>14.055534876812748</v>
      </c>
      <c r="S50" s="28">
        <f t="shared" si="5"/>
        <v>14.055596298360664</v>
      </c>
      <c r="T50" s="28">
        <f t="shared" si="5"/>
        <v>13.411842967894735</v>
      </c>
      <c r="U50" s="28">
        <f t="shared" si="5"/>
        <v>25.798395030555543</v>
      </c>
      <c r="V50" s="28">
        <f t="shared" si="5"/>
        <v>25.798395030555543</v>
      </c>
      <c r="W50" s="28">
        <f t="shared" si="6"/>
        <v>31.069141107509914</v>
      </c>
    </row>
    <row r="51" spans="1:25" x14ac:dyDescent="0.25">
      <c r="D51" t="s">
        <v>22</v>
      </c>
      <c r="K51" s="6">
        <v>14.896999999999991</v>
      </c>
      <c r="L51" s="6">
        <v>11.376000000000019</v>
      </c>
      <c r="M51" s="6">
        <v>35.417999999999992</v>
      </c>
      <c r="N51" s="6">
        <v>29.626000000000001</v>
      </c>
      <c r="O51" s="6">
        <v>29.626000000000033</v>
      </c>
      <c r="P51" s="6">
        <v>31.783999999999999</v>
      </c>
      <c r="Q51" s="31"/>
      <c r="R51" s="7">
        <f t="shared" si="5"/>
        <v>4.6063292647808733</v>
      </c>
      <c r="S51" s="7">
        <f t="shared" si="5"/>
        <v>3.6274152334426311</v>
      </c>
      <c r="T51" s="7">
        <f t="shared" si="5"/>
        <v>11.523194678623479</v>
      </c>
      <c r="U51" s="7">
        <f t="shared" si="5"/>
        <v>10.403637802698407</v>
      </c>
      <c r="V51" s="7">
        <f t="shared" si="5"/>
        <v>10.40363780269842</v>
      </c>
      <c r="W51" s="7">
        <f t="shared" si="6"/>
        <v>11.395125559209498</v>
      </c>
    </row>
    <row r="52" spans="1:25" x14ac:dyDescent="0.25">
      <c r="C52" t="s">
        <v>23</v>
      </c>
      <c r="K52" s="6">
        <f>-(108.041+10.993)</f>
        <v>-119.03399999999999</v>
      </c>
      <c r="L52" s="6">
        <f>-(101.849+13.379)</f>
        <v>-115.22800000000001</v>
      </c>
      <c r="M52" s="6">
        <f>-(112.543+4.375+16.803)</f>
        <v>-133.721</v>
      </c>
      <c r="N52" s="6">
        <f>-(156.627+6.924+23.444)</f>
        <v>-186.995</v>
      </c>
      <c r="O52" s="6">
        <v>-164.06799999999998</v>
      </c>
      <c r="P52" s="6">
        <f>-(142.018+7.946+15.548)</f>
        <v>-165.512</v>
      </c>
      <c r="Q52" s="31"/>
      <c r="R52" s="7">
        <f t="shared" si="5"/>
        <v>-36.806726032350589</v>
      </c>
      <c r="S52" s="7">
        <f t="shared" si="5"/>
        <v>-36.742247056885276</v>
      </c>
      <c r="T52" s="7">
        <f t="shared" si="5"/>
        <v>-43.50593245299595</v>
      </c>
      <c r="U52" s="7">
        <f t="shared" si="5"/>
        <v>-65.666247583730126</v>
      </c>
      <c r="V52" s="7">
        <f t="shared" si="5"/>
        <v>-57.615069432698377</v>
      </c>
      <c r="W52" s="7">
        <f t="shared" si="6"/>
        <v>-59.338976263399275</v>
      </c>
      <c r="Y52" s="7"/>
    </row>
    <row r="53" spans="1:25" x14ac:dyDescent="0.25">
      <c r="C53" s="27" t="s">
        <v>210</v>
      </c>
      <c r="D53" s="27"/>
      <c r="E53" s="27"/>
      <c r="F53" s="27"/>
      <c r="G53" s="27"/>
      <c r="H53" s="27"/>
      <c r="I53" s="27"/>
      <c r="J53" s="27"/>
      <c r="K53" s="28">
        <f>2.541+24.612-12.324</f>
        <v>14.828999999999999</v>
      </c>
      <c r="L53" s="28">
        <f>8.432+12.057-0.349</f>
        <v>20.14</v>
      </c>
      <c r="M53" s="28">
        <f>1.263+4.658-2.814</f>
        <v>3.1070000000000002</v>
      </c>
      <c r="N53" s="28">
        <f>-2.086-39.971-15.681</f>
        <v>-57.737999999999992</v>
      </c>
      <c r="O53" s="28">
        <v>-57.737999999999992</v>
      </c>
      <c r="P53" s="28">
        <f>4.722+10.045-0.182</f>
        <v>14.584999999999999</v>
      </c>
      <c r="Q53" s="31"/>
      <c r="R53" s="28">
        <f t="shared" si="5"/>
        <v>4.5853028574501984</v>
      </c>
      <c r="S53" s="28">
        <f t="shared" si="5"/>
        <v>6.4219534811475452</v>
      </c>
      <c r="T53" s="28">
        <f t="shared" si="5"/>
        <v>1.0108579215789475</v>
      </c>
      <c r="U53" s="28">
        <f t="shared" si="5"/>
        <v>-20.275610593809514</v>
      </c>
      <c r="V53" s="28">
        <f t="shared" si="5"/>
        <v>-20.275610593809514</v>
      </c>
      <c r="W53" s="28">
        <f t="shared" si="6"/>
        <v>5.2289801875494124</v>
      </c>
      <c r="Y53" s="7"/>
    </row>
    <row r="54" spans="1:25" x14ac:dyDescent="0.25">
      <c r="C54" s="31"/>
      <c r="D54" s="118" t="s">
        <v>211</v>
      </c>
      <c r="E54" s="31"/>
      <c r="F54" s="31"/>
      <c r="G54" s="31"/>
      <c r="H54" s="31"/>
      <c r="I54" s="31"/>
      <c r="J54" s="31"/>
      <c r="K54" s="25">
        <v>24.611999999999998</v>
      </c>
      <c r="L54" s="25">
        <v>12.057</v>
      </c>
      <c r="M54" s="25">
        <v>4.6580000000000004</v>
      </c>
      <c r="N54" s="25">
        <v>-39.970999999999997</v>
      </c>
      <c r="O54" s="25">
        <v>-39.970999999999997</v>
      </c>
      <c r="P54" s="25">
        <v>10.045</v>
      </c>
      <c r="Q54" s="118"/>
      <c r="R54" s="25">
        <f t="shared" si="5"/>
        <v>7.6103226062151377</v>
      </c>
      <c r="S54" s="25">
        <f t="shared" si="5"/>
        <v>3.8445627170901662</v>
      </c>
      <c r="T54" s="25">
        <f t="shared" si="5"/>
        <v>1.5154735110121458</v>
      </c>
      <c r="U54" s="25">
        <f t="shared" si="5"/>
        <v>-14.036447938015865</v>
      </c>
      <c r="V54" s="25">
        <f t="shared" si="5"/>
        <v>-14.036447938015865</v>
      </c>
      <c r="W54" s="25">
        <f t="shared" si="6"/>
        <v>3.6013099749011896</v>
      </c>
      <c r="Y54" s="7"/>
    </row>
    <row r="55" spans="1:25" x14ac:dyDescent="0.25">
      <c r="C55" s="31"/>
      <c r="D55" s="118" t="s">
        <v>212</v>
      </c>
      <c r="E55" s="31"/>
      <c r="F55" s="31"/>
      <c r="G55" s="31"/>
      <c r="H55" s="31"/>
      <c r="I55" s="31"/>
      <c r="J55" s="31"/>
      <c r="K55" s="119">
        <v>-9.7829999999999995</v>
      </c>
      <c r="L55" s="119">
        <v>8.0830000000000002</v>
      </c>
      <c r="M55" s="119">
        <v>-1.5510000000000002</v>
      </c>
      <c r="N55" s="119">
        <v>-17.766999999999999</v>
      </c>
      <c r="O55" s="119">
        <v>-17.766999999999996</v>
      </c>
      <c r="P55" s="25">
        <f>4.722-0.182</f>
        <v>4.54</v>
      </c>
      <c r="Q55" s="118"/>
      <c r="R55" s="25">
        <f t="shared" si="5"/>
        <v>-3.0250197487649397</v>
      </c>
      <c r="S55" s="25">
        <f t="shared" si="5"/>
        <v>2.5773907640573785</v>
      </c>
      <c r="T55" s="25">
        <f t="shared" si="5"/>
        <v>-0.5046155894331984</v>
      </c>
      <c r="U55" s="25">
        <f t="shared" si="5"/>
        <v>-6.2391626557936481</v>
      </c>
      <c r="V55" s="25">
        <f t="shared" si="5"/>
        <v>-6.2391626557936464</v>
      </c>
      <c r="W55" s="25">
        <f t="shared" si="6"/>
        <v>1.627670212648223</v>
      </c>
    </row>
    <row r="56" spans="1:25" x14ac:dyDescent="0.25">
      <c r="C56" s="27" t="s">
        <v>213</v>
      </c>
      <c r="D56" s="27"/>
      <c r="E56" s="27"/>
      <c r="F56" s="27"/>
      <c r="G56" s="27"/>
      <c r="H56" s="27"/>
      <c r="I56" s="27"/>
      <c r="J56" s="27"/>
      <c r="K56" s="28">
        <v>0</v>
      </c>
      <c r="L56" s="28">
        <v>0</v>
      </c>
      <c r="M56" s="28">
        <v>0</v>
      </c>
      <c r="N56" s="28">
        <v>205.85599999999999</v>
      </c>
      <c r="O56" s="28">
        <v>0</v>
      </c>
      <c r="P56" s="28">
        <v>0</v>
      </c>
      <c r="Q56" s="25"/>
      <c r="R56" s="28">
        <f t="shared" si="5"/>
        <v>0</v>
      </c>
      <c r="S56" s="28">
        <f t="shared" si="5"/>
        <v>0</v>
      </c>
      <c r="T56" s="28">
        <f t="shared" si="5"/>
        <v>0</v>
      </c>
      <c r="U56" s="28">
        <f t="shared" si="5"/>
        <v>72.289585617777746</v>
      </c>
      <c r="V56" s="28">
        <f t="shared" si="5"/>
        <v>0</v>
      </c>
      <c r="W56" s="28">
        <f t="shared" si="6"/>
        <v>0</v>
      </c>
    </row>
    <row r="57" spans="1:25" x14ac:dyDescent="0.25">
      <c r="C57" s="118" t="s">
        <v>214</v>
      </c>
      <c r="D57" s="31"/>
      <c r="E57" s="31"/>
      <c r="F57" s="31"/>
      <c r="G57" s="31"/>
      <c r="H57" s="31"/>
      <c r="I57" s="31"/>
      <c r="J57" s="31"/>
      <c r="K57" s="25">
        <v>7.1999999999999995E-2</v>
      </c>
      <c r="L57" s="25">
        <v>0.23699999999999999</v>
      </c>
      <c r="M57" s="25">
        <v>9.4969999999999999</v>
      </c>
      <c r="N57" s="25">
        <v>-4.4969999999999999</v>
      </c>
      <c r="O57" s="25">
        <v>-4.4969999999999999</v>
      </c>
      <c r="P57" s="25">
        <v>1.3959999999999999</v>
      </c>
      <c r="Q57" s="118"/>
      <c r="R57" s="25">
        <f t="shared" si="5"/>
        <v>2.2263254820717126E-2</v>
      </c>
      <c r="S57" s="25">
        <f t="shared" si="5"/>
        <v>7.5571150696721351E-2</v>
      </c>
      <c r="T57" s="25">
        <f t="shared" si="5"/>
        <v>3.0898351082186233</v>
      </c>
      <c r="U57" s="25">
        <f t="shared" si="5"/>
        <v>-1.5791925740476183</v>
      </c>
      <c r="V57" s="25">
        <f t="shared" si="5"/>
        <v>-1.5791925740476183</v>
      </c>
      <c r="W57" s="25">
        <f t="shared" si="6"/>
        <v>0.50049066450592927</v>
      </c>
    </row>
    <row r="58" spans="1:25" x14ac:dyDescent="0.25">
      <c r="C58" t="s">
        <v>215</v>
      </c>
      <c r="K58" s="6">
        <v>38.789000000000001</v>
      </c>
      <c r="L58" s="6">
        <v>70.248000000000005</v>
      </c>
      <c r="M58" s="6">
        <v>68.236000000000004</v>
      </c>
      <c r="N58" s="6">
        <v>214.17500000000001</v>
      </c>
      <c r="O58" s="6">
        <v>31.246000000000059</v>
      </c>
      <c r="P58" s="6">
        <v>113.139</v>
      </c>
      <c r="Q58" s="70"/>
      <c r="R58" s="7">
        <f t="shared" si="5"/>
        <v>11.994019322788843</v>
      </c>
      <c r="S58" s="7">
        <f t="shared" si="5"/>
        <v>22.399671705245918</v>
      </c>
      <c r="T58" s="7">
        <f t="shared" si="5"/>
        <v>22.200483146720646</v>
      </c>
      <c r="U58" s="7">
        <f t="shared" si="5"/>
        <v>75.2109338551587</v>
      </c>
      <c r="V58" s="7">
        <f t="shared" si="5"/>
        <v>10.972526388412714</v>
      </c>
      <c r="W58" s="7">
        <f t="shared" si="6"/>
        <v>40.562330438063285</v>
      </c>
    </row>
    <row r="59" spans="1:25" x14ac:dyDescent="0.25">
      <c r="C59" s="27" t="s">
        <v>216</v>
      </c>
      <c r="D59" s="27"/>
      <c r="E59" s="27"/>
      <c r="F59" s="27"/>
      <c r="G59" s="27"/>
      <c r="H59" s="27"/>
      <c r="I59" s="27"/>
      <c r="J59" s="27"/>
      <c r="K59" s="28">
        <v>9.5329999999999995</v>
      </c>
      <c r="L59" s="28">
        <v>1.63</v>
      </c>
      <c r="M59" s="28">
        <v>-5.7489999999999997</v>
      </c>
      <c r="N59" s="28">
        <v>-3.39</v>
      </c>
      <c r="O59" s="28">
        <v>-7.7461300000000044</v>
      </c>
      <c r="P59" s="28">
        <v>-0.54500000000000004</v>
      </c>
      <c r="Q59" s="31"/>
      <c r="R59" s="28">
        <f t="shared" si="5"/>
        <v>2.9477167806374496</v>
      </c>
      <c r="S59" s="28">
        <f t="shared" si="5"/>
        <v>0.51975095204918054</v>
      </c>
      <c r="T59" s="28">
        <f t="shared" si="5"/>
        <v>-1.8704287708906879</v>
      </c>
      <c r="U59" s="28">
        <f t="shared" si="5"/>
        <v>-1.19045204047619</v>
      </c>
      <c r="V59" s="28">
        <f t="shared" si="5"/>
        <v>-2.7201758891722223</v>
      </c>
      <c r="W59" s="28">
        <f t="shared" si="6"/>
        <v>-0.19539212905138362</v>
      </c>
    </row>
    <row r="60" spans="1:25" x14ac:dyDescent="0.25">
      <c r="C60" s="72" t="s">
        <v>217</v>
      </c>
      <c r="D60" s="72"/>
      <c r="E60" s="72"/>
      <c r="F60" s="72"/>
      <c r="G60" s="72"/>
      <c r="H60" s="72"/>
      <c r="I60" s="72"/>
      <c r="J60" s="72"/>
      <c r="K60" s="74">
        <v>48.322000000000003</v>
      </c>
      <c r="L60" s="74">
        <v>71.878</v>
      </c>
      <c r="M60" s="74">
        <v>62.487000000000002</v>
      </c>
      <c r="N60" s="74">
        <v>210.785</v>
      </c>
      <c r="O60" s="74">
        <v>23.499870000000055</v>
      </c>
      <c r="P60" s="74">
        <v>112.59399999999999</v>
      </c>
      <c r="Q60" s="31"/>
      <c r="R60" s="74">
        <f t="shared" si="5"/>
        <v>14.941736103426294</v>
      </c>
      <c r="S60" s="74">
        <f t="shared" si="5"/>
        <v>22.919422657295094</v>
      </c>
      <c r="T60" s="74">
        <f t="shared" si="5"/>
        <v>20.330054375829956</v>
      </c>
      <c r="U60" s="74">
        <f t="shared" si="5"/>
        <v>74.020481814682498</v>
      </c>
      <c r="V60" s="74">
        <f t="shared" si="5"/>
        <v>8.2523504992404924</v>
      </c>
      <c r="W60" s="74">
        <f t="shared" si="6"/>
        <v>40.3669383090119</v>
      </c>
    </row>
    <row r="61" spans="1:25" hidden="1" outlineLevel="1" x14ac:dyDescent="0.25">
      <c r="C61" s="13" t="s">
        <v>148</v>
      </c>
      <c r="D61" s="13"/>
      <c r="E61" s="13"/>
      <c r="F61" s="13"/>
      <c r="G61" s="13"/>
      <c r="H61" s="13"/>
      <c r="I61" s="13"/>
      <c r="J61" s="13"/>
      <c r="K61" s="51">
        <v>309.21187250996013</v>
      </c>
      <c r="L61" s="51">
        <v>318.86561475409854</v>
      </c>
      <c r="M61" s="51">
        <v>325.34854251012143</v>
      </c>
      <c r="N61" s="51">
        <v>351.16579365079349</v>
      </c>
      <c r="O61" s="51">
        <v>351.16579365079349</v>
      </c>
      <c r="P61" s="51">
        <v>358.5176679841901</v>
      </c>
      <c r="Q61" s="32"/>
      <c r="R61" s="45"/>
      <c r="S61" s="45"/>
      <c r="T61" s="45"/>
      <c r="U61" s="45"/>
      <c r="V61" s="45"/>
      <c r="W61" s="31"/>
    </row>
    <row r="62" spans="1:25" ht="9" customHeight="1" collapsed="1" x14ac:dyDescent="0.25">
      <c r="A62" s="12"/>
      <c r="B62" s="12"/>
      <c r="C62" s="120"/>
      <c r="D62" s="120"/>
      <c r="E62" s="120"/>
      <c r="F62" s="120"/>
      <c r="G62" s="120"/>
      <c r="H62" s="120"/>
      <c r="I62" s="120"/>
      <c r="K62" s="113"/>
      <c r="L62" s="113"/>
      <c r="M62" s="113"/>
      <c r="N62" s="113"/>
      <c r="O62" s="32"/>
      <c r="P62" s="32"/>
      <c r="Q62" s="32"/>
      <c r="R62" s="32"/>
      <c r="S62" s="32"/>
      <c r="T62" s="120"/>
      <c r="U62" s="120"/>
      <c r="V62" s="120"/>
      <c r="W62" s="32"/>
    </row>
    <row r="63" spans="1:25" x14ac:dyDescent="0.25">
      <c r="B63" s="103" t="s">
        <v>9</v>
      </c>
      <c r="C63" s="31"/>
      <c r="D63" s="31"/>
      <c r="E63" s="31"/>
      <c r="F63" s="31"/>
      <c r="G63" s="31"/>
      <c r="H63" s="31"/>
      <c r="I63" s="31"/>
      <c r="J63" s="31"/>
      <c r="K63" s="82"/>
      <c r="L63" s="82">
        <f>L46</f>
        <v>2018</v>
      </c>
      <c r="M63" s="82">
        <f>M46</f>
        <v>2019</v>
      </c>
      <c r="N63" s="82">
        <f>N46</f>
        <v>2020</v>
      </c>
      <c r="O63" s="141">
        <v>2020</v>
      </c>
      <c r="P63" s="82">
        <v>2021</v>
      </c>
      <c r="Q63" s="31"/>
      <c r="R63" s="31"/>
      <c r="S63" s="31"/>
      <c r="T63" s="31"/>
      <c r="U63" s="31"/>
      <c r="V63" s="31"/>
      <c r="W63" s="31"/>
    </row>
    <row r="64" spans="1:25" ht="12.6" customHeight="1" x14ac:dyDescent="0.25">
      <c r="B64" s="30"/>
      <c r="C64" s="27"/>
      <c r="D64" s="27"/>
      <c r="E64" s="27"/>
      <c r="F64" s="27"/>
      <c r="G64" s="27"/>
      <c r="H64" s="27"/>
      <c r="I64" s="27"/>
      <c r="J64" s="27"/>
      <c r="K64" s="53"/>
      <c r="L64" s="121" t="s">
        <v>208</v>
      </c>
      <c r="M64" s="121" t="s">
        <v>208</v>
      </c>
      <c r="N64" s="121" t="s">
        <v>208</v>
      </c>
      <c r="O64" s="122" t="s">
        <v>209</v>
      </c>
      <c r="P64" s="121" t="s">
        <v>208</v>
      </c>
      <c r="Q64" s="31"/>
      <c r="R64" s="31"/>
      <c r="S64" s="31"/>
      <c r="T64" s="31"/>
      <c r="U64" s="31"/>
      <c r="V64" s="31"/>
      <c r="W64" s="31"/>
    </row>
    <row r="65" spans="2:23" x14ac:dyDescent="0.25">
      <c r="C65" t="s">
        <v>10</v>
      </c>
      <c r="K65" s="26"/>
      <c r="L65" s="26">
        <f>L60/AVERAGE(K42:L42)</f>
        <v>0.10068314602964268</v>
      </c>
      <c r="M65" s="26">
        <f>M60/AVERAGE(L42:M42)</f>
        <v>8.2647546642753408E-2</v>
      </c>
      <c r="N65" s="26">
        <f>N60/N42</f>
        <v>0.21263814140232123</v>
      </c>
      <c r="O65" s="26">
        <f>O60/N42</f>
        <v>2.370647190263149E-2</v>
      </c>
      <c r="P65" s="26">
        <f>P60/P42</f>
        <v>0.10952361497771473</v>
      </c>
      <c r="Q65" s="31"/>
      <c r="R65" s="31"/>
      <c r="S65" s="31"/>
      <c r="T65" s="31"/>
      <c r="U65" s="31"/>
      <c r="V65" s="31"/>
      <c r="W65" s="31"/>
    </row>
    <row r="66" spans="2:23" x14ac:dyDescent="0.25">
      <c r="C66" t="s">
        <v>11</v>
      </c>
      <c r="K66" s="26"/>
      <c r="L66" s="26">
        <f>L60/AVERAGE(K$33:L$33)</f>
        <v>1.4479904544395095E-2</v>
      </c>
      <c r="M66" s="26">
        <f>M60/AVERAGE(L$33:M$33)</f>
        <v>1.2479722473116829E-2</v>
      </c>
      <c r="N66" s="26">
        <f>N60/N33</f>
        <v>2.2969163011916153E-2</v>
      </c>
      <c r="O66" s="26">
        <f>O60/N33</f>
        <v>2.5607720890425756E-3</v>
      </c>
      <c r="P66" s="26">
        <f>P60/P33</f>
        <v>1.1306442716209331E-2</v>
      </c>
      <c r="Q66" s="31"/>
      <c r="R66" s="31"/>
      <c r="S66" s="31"/>
      <c r="T66" s="31"/>
      <c r="U66" s="31"/>
      <c r="V66" s="31"/>
      <c r="W66" s="31"/>
    </row>
    <row r="67" spans="2:23" x14ac:dyDescent="0.25">
      <c r="C67" s="27" t="s">
        <v>49</v>
      </c>
      <c r="D67" s="27"/>
      <c r="E67" s="27"/>
      <c r="F67" s="27"/>
      <c r="G67" s="27"/>
      <c r="H67" s="27"/>
      <c r="I67" s="27"/>
      <c r="J67" s="27"/>
      <c r="K67" s="29"/>
      <c r="L67" s="29">
        <f t="shared" ref="L67:M68" si="7">L48/AVERAGE(K$33:L$33)</f>
        <v>3.3259380622375226E-2</v>
      </c>
      <c r="M67" s="29">
        <f t="shared" si="7"/>
        <v>3.7817032173925631E-2</v>
      </c>
      <c r="N67" s="29">
        <f>N48/N33</f>
        <v>2.8065018689925721E-2</v>
      </c>
      <c r="O67" s="29">
        <f>O48/N33</f>
        <v>2.8065018689925728E-2</v>
      </c>
      <c r="P67" s="29">
        <f>P48/P33</f>
        <v>2.6376745725941928E-2</v>
      </c>
      <c r="Q67" s="31"/>
      <c r="R67" s="31"/>
      <c r="S67" s="31"/>
      <c r="T67" s="31"/>
      <c r="U67" s="31"/>
      <c r="V67" s="31"/>
      <c r="W67" s="31"/>
    </row>
    <row r="68" spans="2:23" x14ac:dyDescent="0.25">
      <c r="C68" t="s">
        <v>50</v>
      </c>
      <c r="K68" s="26"/>
      <c r="L68" s="26">
        <f t="shared" si="7"/>
        <v>2.2087706585618847E-2</v>
      </c>
      <c r="M68" s="26">
        <f t="shared" si="7"/>
        <v>2.2510513857121387E-2</v>
      </c>
      <c r="N68" s="26">
        <f>N49/N33</f>
        <v>1.6831230782525061E-2</v>
      </c>
      <c r="O68" s="26">
        <f>O49/N33</f>
        <v>1.6831230782525061E-2</v>
      </c>
      <c r="P68" s="26">
        <f>P49/P33</f>
        <v>1.4482858830737048E-2</v>
      </c>
      <c r="Q68" s="31"/>
      <c r="R68" s="31"/>
      <c r="S68" s="31"/>
      <c r="T68" s="31"/>
      <c r="U68" s="31"/>
      <c r="V68" s="31"/>
      <c r="W68" s="31"/>
    </row>
    <row r="69" spans="2:23" x14ac:dyDescent="0.25">
      <c r="C69" t="s">
        <v>51</v>
      </c>
      <c r="K69" s="26"/>
      <c r="L69" s="26">
        <f>-L52/L48</f>
        <v>0.6979327554982161</v>
      </c>
      <c r="M69" s="26">
        <f>-M52/M48</f>
        <v>0.70619953209085673</v>
      </c>
      <c r="N69" s="26">
        <f>-N52/N48</f>
        <v>0.72605601264225461</v>
      </c>
      <c r="O69" s="26">
        <f>-O52/O48</f>
        <v>0.63703605915767469</v>
      </c>
      <c r="P69" s="26">
        <f>-P52/P48</f>
        <v>0.6301138310427532</v>
      </c>
      <c r="Q69" s="31"/>
      <c r="R69" s="31"/>
      <c r="S69" s="31"/>
      <c r="T69" s="31"/>
      <c r="U69" s="31"/>
      <c r="V69" s="31"/>
      <c r="W69" s="31"/>
    </row>
    <row r="70" spans="2:23" x14ac:dyDescent="0.25">
      <c r="C70" s="27" t="s">
        <v>52</v>
      </c>
      <c r="D70" s="27"/>
      <c r="E70" s="27"/>
      <c r="F70" s="27"/>
      <c r="G70" s="27"/>
      <c r="H70" s="27"/>
      <c r="I70" s="27"/>
      <c r="J70" s="27"/>
      <c r="K70" s="29"/>
      <c r="L70" s="29">
        <f t="shared" ref="L70:M71" si="8">-L52/AVERAGE(K$33:L$33)</f>
        <v>2.3212811163938314E-2</v>
      </c>
      <c r="M70" s="29">
        <f t="shared" si="8"/>
        <v>2.6706370426291155E-2</v>
      </c>
      <c r="N70" s="29">
        <f>-N52/N33</f>
        <v>2.0376775564737819E-2</v>
      </c>
      <c r="O70" s="29">
        <f>-O52/N33</f>
        <v>1.7878428906416773E-2</v>
      </c>
      <c r="P70" s="29">
        <f>-P52/P33</f>
        <v>1.6620352299813835E-2</v>
      </c>
      <c r="Q70" s="31"/>
      <c r="R70" s="31"/>
      <c r="S70" s="31"/>
      <c r="T70" s="31"/>
      <c r="U70" s="31"/>
      <c r="V70" s="31"/>
      <c r="W70" s="31"/>
    </row>
    <row r="71" spans="2:23" hidden="1" outlineLevel="1" x14ac:dyDescent="0.25">
      <c r="C71" t="s">
        <v>53</v>
      </c>
      <c r="K71" s="26"/>
      <c r="L71" s="26">
        <f t="shared" si="8"/>
        <v>-4.0572258204752115E-3</v>
      </c>
      <c r="M71" s="26">
        <f t="shared" si="8"/>
        <v>-6.2052103195823116E-4</v>
      </c>
      <c r="N71" s="26">
        <f>-N53/AVERAGE(M33:N33)</f>
        <v>8.136182486211235E-3</v>
      </c>
      <c r="O71" s="26">
        <f>-O53/AVERAGE(N33:P33)</f>
        <v>6.0347227019938356E-3</v>
      </c>
      <c r="P71" s="26">
        <f>-P53/AVERAGE(N33:P33)</f>
        <v>-1.5244107971973415E-3</v>
      </c>
      <c r="Q71" s="31"/>
      <c r="R71" s="31"/>
      <c r="S71" s="31"/>
      <c r="T71" s="31"/>
      <c r="U71" s="31"/>
      <c r="V71" s="31"/>
      <c r="W71" s="31"/>
    </row>
    <row r="72" spans="2:23" collapsed="1" x14ac:dyDescent="0.25">
      <c r="C72" t="s">
        <v>218</v>
      </c>
      <c r="K72" s="26"/>
      <c r="L72" s="26">
        <f>-L54/AVERAGE(K$35:L$35)</f>
        <v>-4.9543111999401724E-3</v>
      </c>
      <c r="M72" s="26">
        <f t="shared" ref="M72" si="9">-M54/AVERAGE(L$35:M$35)</f>
        <v>-1.7753381594225463E-3</v>
      </c>
      <c r="N72" s="26">
        <f>-N54/N35</f>
        <v>8.7301117544289954E-3</v>
      </c>
      <c r="O72" s="26">
        <f>-O54/N35</f>
        <v>8.7301117544289954E-3</v>
      </c>
      <c r="P72" s="26">
        <f>-P54/P35</f>
        <v>-2.1053747944403851E-3</v>
      </c>
      <c r="Q72" s="31"/>
      <c r="S72" s="31"/>
      <c r="T72" s="31"/>
      <c r="U72" s="31"/>
      <c r="V72" s="31"/>
      <c r="W72" s="31"/>
    </row>
    <row r="73" spans="2:23" x14ac:dyDescent="0.25">
      <c r="C73" t="s">
        <v>54</v>
      </c>
      <c r="K73" s="26"/>
      <c r="L73" s="26">
        <f>(L35+L38)/L39</f>
        <v>0.62002740578994953</v>
      </c>
      <c r="M73" s="26">
        <f>(M35+M38)/M39</f>
        <v>0.69350794747535105</v>
      </c>
      <c r="N73" s="26">
        <f>(N35+N38)/N39</f>
        <v>0.59476005949834976</v>
      </c>
      <c r="O73" s="26">
        <f>(N35+N38)/N39</f>
        <v>0.59476005949834976</v>
      </c>
      <c r="P73" s="26">
        <f>(N35+N38)/P39</f>
        <v>0.54672170169440304</v>
      </c>
      <c r="Q73" s="31"/>
      <c r="R73" s="31"/>
      <c r="S73" s="31"/>
      <c r="T73" s="31"/>
      <c r="U73" s="31"/>
      <c r="V73" s="31"/>
      <c r="W73" s="31"/>
    </row>
    <row r="74" spans="2:23" ht="8.4499999999999993" customHeight="1" x14ac:dyDescent="0.25"/>
    <row r="75" spans="2:23" x14ac:dyDescent="0.25">
      <c r="B75" s="34" t="s">
        <v>5</v>
      </c>
      <c r="C75" s="35"/>
      <c r="D75" s="35"/>
      <c r="E75" s="35"/>
      <c r="F75" s="35"/>
      <c r="G75" s="35"/>
      <c r="H75" s="35"/>
      <c r="I75" s="35"/>
      <c r="J75" s="35"/>
      <c r="K75" s="55">
        <v>2017</v>
      </c>
      <c r="L75" s="55">
        <f>L63</f>
        <v>2018</v>
      </c>
      <c r="M75" s="55">
        <f>M63</f>
        <v>2019</v>
      </c>
      <c r="N75" s="55">
        <f>N63</f>
        <v>2020</v>
      </c>
      <c r="O75" s="55"/>
      <c r="P75" s="55">
        <v>2021</v>
      </c>
    </row>
    <row r="76" spans="2:23" hidden="1" outlineLevel="1" x14ac:dyDescent="0.25">
      <c r="C76" t="s">
        <v>42</v>
      </c>
      <c r="K76" s="25"/>
      <c r="L76" s="25"/>
      <c r="M76" s="25"/>
      <c r="N76" s="25"/>
      <c r="O76" s="25"/>
      <c r="P76" s="25"/>
    </row>
    <row r="77" spans="2:23" collapsed="1" x14ac:dyDescent="0.25">
      <c r="C77" t="s">
        <v>224</v>
      </c>
      <c r="K77" s="25">
        <v>2848.0450000000001</v>
      </c>
      <c r="L77" s="25">
        <v>2980.6770000000001</v>
      </c>
      <c r="M77" s="25">
        <v>2975.6</v>
      </c>
      <c r="N77" s="25">
        <v>4863.1660000000002</v>
      </c>
      <c r="O77" s="25"/>
      <c r="P77" s="25">
        <v>5151.2619999999997</v>
      </c>
    </row>
    <row r="78" spans="2:23" x14ac:dyDescent="0.25">
      <c r="C78" s="31" t="s">
        <v>6</v>
      </c>
      <c r="D78" s="31"/>
      <c r="E78" s="31"/>
      <c r="F78" s="31"/>
      <c r="G78" s="31"/>
      <c r="H78" s="31"/>
      <c r="I78" s="31"/>
      <c r="J78" s="31"/>
      <c r="K78" s="25">
        <v>1419</v>
      </c>
      <c r="L78" s="25">
        <v>1487</v>
      </c>
      <c r="M78" s="25">
        <v>1364</v>
      </c>
      <c r="N78" s="25">
        <v>2075</v>
      </c>
      <c r="O78" s="25"/>
      <c r="P78" s="25">
        <v>1801</v>
      </c>
    </row>
    <row r="79" spans="2:23" x14ac:dyDescent="0.25">
      <c r="C79" s="35" t="s">
        <v>7</v>
      </c>
      <c r="D79" s="35"/>
      <c r="E79" s="35"/>
      <c r="F79" s="35"/>
      <c r="G79" s="35"/>
      <c r="H79" s="35"/>
      <c r="I79" s="35"/>
      <c r="J79" s="35"/>
      <c r="K79" s="35"/>
      <c r="L79" s="35">
        <v>52</v>
      </c>
      <c r="M79" s="35">
        <v>50</v>
      </c>
      <c r="N79" s="35">
        <v>100</v>
      </c>
      <c r="O79" s="35"/>
      <c r="P79" s="35">
        <v>69</v>
      </c>
    </row>
    <row r="80" spans="2:23" hidden="1" outlineLevel="1" x14ac:dyDescent="0.25">
      <c r="C80" s="31" t="s">
        <v>43</v>
      </c>
      <c r="D80" s="31"/>
      <c r="E80" s="31"/>
      <c r="F80" s="31"/>
      <c r="G80" s="31"/>
      <c r="H80" s="31"/>
      <c r="I80" s="31"/>
      <c r="J80" s="31"/>
      <c r="K80" s="25"/>
      <c r="L80" s="25"/>
      <c r="M80" s="25"/>
      <c r="N80" s="25"/>
    </row>
    <row r="81" spans="1:23" collapsed="1" x14ac:dyDescent="0.25">
      <c r="U81" s="149" t="s">
        <v>245</v>
      </c>
      <c r="V81" s="182" t="s">
        <v>282</v>
      </c>
      <c r="W81" s="182"/>
    </row>
    <row r="82" spans="1:23" ht="50.45" customHeight="1" x14ac:dyDescent="0.25">
      <c r="A82" s="178" t="s">
        <v>219</v>
      </c>
      <c r="B82" s="178"/>
      <c r="C82" s="178"/>
      <c r="D82" s="178"/>
      <c r="E82" s="178"/>
      <c r="F82" s="178"/>
      <c r="G82" s="178"/>
      <c r="H82" s="178"/>
      <c r="I82" s="178"/>
      <c r="J82" s="178"/>
      <c r="K82" s="178"/>
      <c r="L82" s="178"/>
      <c r="M82" s="178"/>
      <c r="N82" s="178"/>
      <c r="O82" s="178"/>
      <c r="P82" s="178"/>
      <c r="Q82" s="178"/>
      <c r="R82" s="178"/>
      <c r="S82" s="178"/>
      <c r="T82" s="178"/>
      <c r="U82" s="178"/>
    </row>
    <row r="83" spans="1:23" x14ac:dyDescent="0.25">
      <c r="A83" s="52" t="s">
        <v>220</v>
      </c>
    </row>
    <row r="84" spans="1:23" ht="23.45" customHeight="1" x14ac:dyDescent="0.25">
      <c r="A84" s="179" t="s">
        <v>221</v>
      </c>
      <c r="B84" s="179"/>
      <c r="C84" s="179"/>
      <c r="D84" s="179"/>
      <c r="E84" s="179"/>
      <c r="F84" s="179"/>
      <c r="G84" s="179"/>
      <c r="H84" s="179"/>
      <c r="I84" s="179"/>
      <c r="J84" s="179"/>
      <c r="K84" s="179"/>
      <c r="L84" s="179"/>
      <c r="M84" s="179"/>
      <c r="N84" s="179"/>
      <c r="O84" s="179"/>
      <c r="P84" s="179"/>
      <c r="Q84" s="179"/>
      <c r="R84" s="179"/>
      <c r="S84" s="179"/>
      <c r="T84" s="179"/>
      <c r="U84" s="179"/>
    </row>
    <row r="88" spans="1:23" x14ac:dyDescent="0.25">
      <c r="L88" s="123"/>
    </row>
  </sheetData>
  <mergeCells count="8">
    <mergeCell ref="A82:U82"/>
    <mergeCell ref="A84:U84"/>
    <mergeCell ref="C16:E16"/>
    <mergeCell ref="V81:W81"/>
    <mergeCell ref="R45:W45"/>
    <mergeCell ref="K45:P45"/>
    <mergeCell ref="K31:P31"/>
    <mergeCell ref="R31:W31"/>
  </mergeCells>
  <hyperlinks>
    <hyperlink ref="J27" r:id="rId1" xr:uid="{00000000-0004-0000-0000-000000000000}"/>
    <hyperlink ref="K4" r:id="rId2" xr:uid="{00000000-0004-0000-0000-000001000000}"/>
    <hyperlink ref="A13" r:id="rId3" xr:uid="{4D0B871C-680C-40BD-B2B7-A2D646AA98B6}"/>
  </hyperlinks>
  <pageMargins left="0.27" right="0.22" top="0.39370078740157483" bottom="0.17" header="0.31496062992125984" footer="0.31496062992125984"/>
  <pageSetup paperSize="9" scale="68" orientation="portrait" r:id="rId4"/>
  <rowBreaks count="1" manualBreakCount="1">
    <brk id="81" max="2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73"/>
  <sheetViews>
    <sheetView view="pageBreakPreview" zoomScaleNormal="100" zoomScaleSheetLayoutView="100" workbookViewId="0">
      <pane ySplit="2" topLeftCell="A3" activePane="bottomLeft" state="frozen"/>
      <selection activeCell="M1" sqref="M1"/>
      <selection pane="bottomLeft" activeCell="A2" sqref="A2"/>
    </sheetView>
  </sheetViews>
  <sheetFormatPr defaultRowHeight="15" outlineLevelRow="1" outlineLevelCol="1" x14ac:dyDescent="0.25"/>
  <cols>
    <col min="1" max="2" width="4.42578125" customWidth="1"/>
    <col min="3" max="3" width="3.42578125" customWidth="1"/>
    <col min="4" max="9" width="4.42578125" customWidth="1"/>
    <col min="10" max="10" width="6.5703125" customWidth="1"/>
    <col min="11" max="11" width="7.140625" hidden="1" customWidth="1" outlineLevel="1"/>
    <col min="12" max="12" width="7.7109375" customWidth="1" collapsed="1"/>
    <col min="13" max="13" width="7.42578125" bestFit="1" customWidth="1"/>
    <col min="14" max="16" width="7.140625" customWidth="1"/>
    <col min="17" max="17" width="2.7109375" customWidth="1"/>
    <col min="18" max="22" width="7.140625" customWidth="1"/>
    <col min="23" max="23" width="2.5703125" customWidth="1"/>
    <col min="24" max="28" width="7.140625" customWidth="1"/>
  </cols>
  <sheetData>
    <row r="1" spans="1:26" ht="18.75" x14ac:dyDescent="0.3">
      <c r="A1" s="41" t="s">
        <v>225</v>
      </c>
    </row>
    <row r="3" spans="1:26" x14ac:dyDescent="0.25">
      <c r="A3" t="s">
        <v>0</v>
      </c>
      <c r="L3" s="57" t="s">
        <v>226</v>
      </c>
      <c r="S3" s="1"/>
      <c r="T3" s="1"/>
      <c r="U3" s="1"/>
      <c r="V3" s="1"/>
      <c r="W3" s="1"/>
      <c r="X3" s="1"/>
      <c r="Y3" s="1"/>
    </row>
    <row r="4" spans="1:26" x14ac:dyDescent="0.25">
      <c r="A4" t="s">
        <v>1</v>
      </c>
      <c r="L4" s="12" t="s">
        <v>227</v>
      </c>
    </row>
    <row r="5" spans="1:26" x14ac:dyDescent="0.25">
      <c r="A5" t="s">
        <v>2</v>
      </c>
      <c r="L5" s="125" t="s">
        <v>228</v>
      </c>
    </row>
    <row r="6" spans="1:26" x14ac:dyDescent="0.25">
      <c r="A6" t="s">
        <v>4</v>
      </c>
      <c r="L6" s="63">
        <v>1</v>
      </c>
      <c r="N6" s="4"/>
      <c r="O6" s="4"/>
      <c r="P6" s="4"/>
      <c r="S6" s="4"/>
      <c r="T6" s="4"/>
      <c r="U6" s="4"/>
      <c r="V6" s="4"/>
      <c r="W6" s="4"/>
      <c r="X6" s="4"/>
      <c r="Y6" s="4"/>
    </row>
    <row r="7" spans="1:26" x14ac:dyDescent="0.25">
      <c r="A7" t="s">
        <v>84</v>
      </c>
      <c r="L7" s="131" t="s">
        <v>239</v>
      </c>
      <c r="N7" s="4"/>
      <c r="O7" s="4"/>
      <c r="P7" s="4"/>
      <c r="S7" s="4"/>
      <c r="T7" s="4"/>
      <c r="U7" s="4"/>
      <c r="V7" s="4"/>
      <c r="W7" s="4"/>
      <c r="X7" s="4"/>
      <c r="Y7" s="4"/>
    </row>
    <row r="8" spans="1:26" x14ac:dyDescent="0.25">
      <c r="A8" t="s">
        <v>185</v>
      </c>
      <c r="L8" s="57" t="s">
        <v>240</v>
      </c>
    </row>
    <row r="9" spans="1:26" x14ac:dyDescent="0.25">
      <c r="S9" s="64"/>
      <c r="T9" s="64"/>
      <c r="U9" s="64"/>
      <c r="V9" s="64"/>
      <c r="W9" s="64"/>
      <c r="X9" s="64"/>
      <c r="Y9" s="124"/>
    </row>
    <row r="10" spans="1:26" x14ac:dyDescent="0.25">
      <c r="A10" s="43" t="s">
        <v>241</v>
      </c>
      <c r="S10" s="64"/>
      <c r="T10" s="64"/>
      <c r="U10" s="64"/>
      <c r="V10" s="64"/>
      <c r="W10" s="64"/>
      <c r="X10" s="64"/>
      <c r="Y10" s="124"/>
    </row>
    <row r="11" spans="1:26" x14ac:dyDescent="0.25">
      <c r="A11" t="s">
        <v>72</v>
      </c>
      <c r="J11" s="89" t="s">
        <v>246</v>
      </c>
    </row>
    <row r="12" spans="1:26" x14ac:dyDescent="0.25">
      <c r="J12" s="89"/>
    </row>
    <row r="13" spans="1:26" x14ac:dyDescent="0.25">
      <c r="L13" s="185" t="s">
        <v>247</v>
      </c>
      <c r="M13" s="185"/>
      <c r="N13" s="185"/>
      <c r="O13" s="134"/>
      <c r="Q13" s="137"/>
      <c r="R13" s="137"/>
      <c r="S13" s="137"/>
      <c r="T13" s="137"/>
      <c r="U13" s="137"/>
      <c r="V13" s="137"/>
      <c r="W13" s="184"/>
      <c r="X13" s="184"/>
      <c r="Y13" s="184"/>
      <c r="Z13" s="142"/>
    </row>
    <row r="14" spans="1:26" ht="15" customHeight="1" x14ac:dyDescent="0.25">
      <c r="B14" s="133" t="s">
        <v>48</v>
      </c>
      <c r="C14" s="140" t="s">
        <v>30</v>
      </c>
      <c r="D14" s="133"/>
      <c r="E14" s="133"/>
      <c r="F14" s="133"/>
      <c r="G14" s="133"/>
      <c r="H14" s="133"/>
      <c r="I14" s="133"/>
      <c r="J14" s="133"/>
      <c r="L14" s="14" t="s">
        <v>12</v>
      </c>
      <c r="N14" s="40" t="s">
        <v>45</v>
      </c>
      <c r="Q14" s="143"/>
      <c r="R14" s="143"/>
      <c r="S14" s="143"/>
      <c r="T14" s="143"/>
      <c r="U14" s="143"/>
      <c r="V14" s="143"/>
      <c r="W14" s="144"/>
      <c r="X14" s="137"/>
      <c r="Y14" s="135"/>
      <c r="Z14" s="12"/>
    </row>
    <row r="15" spans="1:26" x14ac:dyDescent="0.25">
      <c r="B15" s="42">
        <v>1</v>
      </c>
      <c r="C15" t="s">
        <v>229</v>
      </c>
      <c r="D15" s="12"/>
      <c r="E15" s="12"/>
      <c r="F15" s="12"/>
      <c r="G15" s="12"/>
      <c r="H15" s="12"/>
      <c r="I15" s="12"/>
      <c r="J15" s="12"/>
      <c r="L15" s="126">
        <v>469.01513805722499</v>
      </c>
      <c r="M15" s="6"/>
      <c r="N15" s="22">
        <v>0.25957483967527795</v>
      </c>
      <c r="Q15" s="136"/>
      <c r="R15" s="137"/>
      <c r="S15" s="137"/>
      <c r="T15" s="137"/>
      <c r="U15" s="137"/>
      <c r="V15" s="137"/>
      <c r="W15" s="145"/>
      <c r="X15" s="138"/>
      <c r="Y15" s="139"/>
      <c r="Z15" s="12"/>
    </row>
    <row r="16" spans="1:26" x14ac:dyDescent="0.25">
      <c r="B16" s="42">
        <v>2</v>
      </c>
      <c r="C16" t="s">
        <v>76</v>
      </c>
      <c r="D16" s="12"/>
      <c r="E16" s="12"/>
      <c r="F16" s="12"/>
      <c r="G16" s="12"/>
      <c r="H16" s="12"/>
      <c r="I16" s="12"/>
      <c r="J16" s="12"/>
      <c r="L16" s="126">
        <v>287.011113860916</v>
      </c>
      <c r="M16" s="12"/>
      <c r="N16" s="22">
        <v>0.15884532890360606</v>
      </c>
      <c r="Q16" s="136"/>
      <c r="R16" s="137"/>
      <c r="S16" s="137"/>
      <c r="T16" s="137"/>
      <c r="U16" s="137"/>
      <c r="V16" s="137"/>
      <c r="W16" s="145"/>
      <c r="X16" s="137"/>
      <c r="Y16" s="139"/>
      <c r="Z16" s="12"/>
    </row>
    <row r="17" spans="1:32" x14ac:dyDescent="0.25">
      <c r="B17" s="42">
        <v>3</v>
      </c>
      <c r="C17" t="s">
        <v>75</v>
      </c>
      <c r="D17" s="12"/>
      <c r="E17" s="12"/>
      <c r="F17" s="12"/>
      <c r="G17" s="12"/>
      <c r="H17" s="12"/>
      <c r="I17" s="12"/>
      <c r="J17" s="12"/>
      <c r="L17" s="126">
        <v>274.93961946813101</v>
      </c>
      <c r="M17" s="6"/>
      <c r="N17" s="22">
        <v>0.15216440121622332</v>
      </c>
      <c r="Q17" s="136"/>
      <c r="R17" s="137"/>
      <c r="S17" s="137"/>
      <c r="T17" s="137"/>
      <c r="U17" s="137"/>
      <c r="V17" s="137"/>
      <c r="W17" s="145"/>
      <c r="X17" s="138"/>
      <c r="Y17" s="139"/>
      <c r="Z17" s="12"/>
    </row>
    <row r="18" spans="1:32" x14ac:dyDescent="0.25">
      <c r="B18" s="42">
        <v>4</v>
      </c>
      <c r="C18" t="s">
        <v>78</v>
      </c>
      <c r="D18" s="12"/>
      <c r="E18" s="12"/>
      <c r="F18" s="12"/>
      <c r="G18" s="12"/>
      <c r="H18" s="12"/>
      <c r="I18" s="12"/>
      <c r="J18" s="12"/>
      <c r="L18" s="126">
        <v>204.62605683983699</v>
      </c>
      <c r="M18" s="12"/>
      <c r="N18" s="22">
        <v>0.1132495981208696</v>
      </c>
      <c r="Q18" s="136"/>
      <c r="R18" s="137"/>
      <c r="S18" s="137"/>
      <c r="T18" s="137"/>
      <c r="U18" s="137"/>
      <c r="V18" s="137"/>
      <c r="W18" s="145"/>
      <c r="X18" s="137"/>
      <c r="Y18" s="139"/>
      <c r="Z18" s="12"/>
    </row>
    <row r="19" spans="1:32" x14ac:dyDescent="0.25">
      <c r="B19" s="18">
        <v>5</v>
      </c>
      <c r="C19" s="19" t="s">
        <v>242</v>
      </c>
      <c r="D19" s="19"/>
      <c r="E19" s="19"/>
      <c r="F19" s="19"/>
      <c r="G19" s="19"/>
      <c r="H19" s="19"/>
      <c r="I19" s="19"/>
      <c r="J19" s="19"/>
      <c r="L19" s="127">
        <f>L20+L24</f>
        <v>189.80167816282861</v>
      </c>
      <c r="M19" s="19"/>
      <c r="N19" s="38">
        <f>N20+N24</f>
        <v>0.10504509594998154</v>
      </c>
      <c r="Q19" s="136"/>
      <c r="R19" s="137"/>
      <c r="S19" s="137"/>
      <c r="T19" s="137"/>
      <c r="U19" s="137"/>
      <c r="V19" s="137"/>
      <c r="W19" s="145"/>
      <c r="X19" s="137"/>
      <c r="Y19" s="139"/>
      <c r="Z19" s="12"/>
    </row>
    <row r="20" spans="1:32" x14ac:dyDescent="0.25">
      <c r="B20" s="15">
        <v>5</v>
      </c>
      <c r="C20" s="16" t="s">
        <v>230</v>
      </c>
      <c r="D20" s="16"/>
      <c r="E20" s="16"/>
      <c r="F20" s="16"/>
      <c r="G20" s="16"/>
      <c r="H20" s="16"/>
      <c r="I20" s="16"/>
      <c r="J20" s="16"/>
      <c r="L20" s="128">
        <v>117.26993989500301</v>
      </c>
      <c r="M20" s="16"/>
      <c r="N20" s="39">
        <v>6.4902651059550537E-2</v>
      </c>
      <c r="Q20" s="136"/>
      <c r="R20" s="137"/>
      <c r="S20" s="137"/>
      <c r="T20" s="137"/>
      <c r="U20" s="137"/>
      <c r="V20" s="137"/>
      <c r="W20" s="145"/>
      <c r="X20" s="137"/>
      <c r="Y20" s="139"/>
      <c r="Z20" s="12"/>
    </row>
    <row r="21" spans="1:32" x14ac:dyDescent="0.25">
      <c r="B21" s="42">
        <v>6</v>
      </c>
      <c r="C21" t="s">
        <v>36</v>
      </c>
      <c r="D21" s="12"/>
      <c r="E21" s="12"/>
      <c r="F21" s="12"/>
      <c r="G21" s="12"/>
      <c r="H21" s="12"/>
      <c r="I21" s="12"/>
      <c r="J21" s="12"/>
      <c r="L21" s="126">
        <v>104.637842898947</v>
      </c>
      <c r="M21" s="12"/>
      <c r="N21" s="22">
        <v>5.7911459760062407E-2</v>
      </c>
      <c r="Q21" s="136"/>
      <c r="R21" s="137"/>
      <c r="S21" s="137"/>
      <c r="T21" s="137"/>
      <c r="U21" s="137"/>
      <c r="V21" s="137"/>
      <c r="W21" s="145"/>
      <c r="X21" s="137"/>
      <c r="Y21" s="139"/>
      <c r="Z21" s="12"/>
    </row>
    <row r="22" spans="1:32" x14ac:dyDescent="0.25">
      <c r="B22" s="42">
        <v>7</v>
      </c>
      <c r="C22" t="s">
        <v>231</v>
      </c>
      <c r="D22" s="12"/>
      <c r="E22" s="12"/>
      <c r="F22" s="12"/>
      <c r="G22" s="12"/>
      <c r="H22" s="12"/>
      <c r="I22" s="12"/>
      <c r="J22" s="12"/>
      <c r="L22" s="126">
        <v>96.229976371398706</v>
      </c>
      <c r="M22" s="12"/>
      <c r="N22" s="22">
        <v>5.3258154506547944E-2</v>
      </c>
      <c r="Q22" s="136"/>
      <c r="R22" s="137"/>
      <c r="S22" s="137"/>
      <c r="T22" s="137"/>
      <c r="U22" s="137"/>
      <c r="V22" s="137"/>
      <c r="W22" s="145"/>
      <c r="X22" s="137"/>
      <c r="Y22" s="139"/>
      <c r="Z22" s="12"/>
    </row>
    <row r="23" spans="1:32" x14ac:dyDescent="0.25">
      <c r="B23" s="42">
        <v>8</v>
      </c>
      <c r="C23" t="s">
        <v>77</v>
      </c>
      <c r="D23" s="42"/>
      <c r="E23" s="42"/>
      <c r="F23" s="42"/>
      <c r="G23" s="42"/>
      <c r="H23" s="42"/>
      <c r="I23" s="42"/>
      <c r="J23" s="42"/>
      <c r="L23" s="126">
        <v>84.053282998069903</v>
      </c>
      <c r="M23" s="6"/>
      <c r="N23" s="22">
        <v>4.6519004799676009E-2</v>
      </c>
      <c r="Q23" s="136"/>
      <c r="R23" s="137"/>
      <c r="S23" s="137"/>
      <c r="T23" s="137"/>
      <c r="U23" s="137"/>
      <c r="V23" s="137"/>
      <c r="W23" s="145"/>
      <c r="X23" s="137"/>
      <c r="Y23" s="139"/>
      <c r="Z23" s="12"/>
    </row>
    <row r="24" spans="1:32" x14ac:dyDescent="0.25">
      <c r="B24" s="15">
        <v>9</v>
      </c>
      <c r="C24" s="16" t="s">
        <v>35</v>
      </c>
      <c r="D24" s="16"/>
      <c r="E24" s="16"/>
      <c r="F24" s="16"/>
      <c r="G24" s="16"/>
      <c r="H24" s="16"/>
      <c r="I24" s="16"/>
      <c r="J24" s="16"/>
      <c r="L24" s="128">
        <v>72.531738267825602</v>
      </c>
      <c r="M24" s="16"/>
      <c r="N24" s="39">
        <v>4.0142444890431006E-2</v>
      </c>
      <c r="Q24" s="136"/>
      <c r="R24" s="137"/>
      <c r="S24" s="137"/>
      <c r="T24" s="137"/>
      <c r="U24" s="137"/>
      <c r="V24" s="137"/>
      <c r="W24" s="145"/>
      <c r="X24" s="137"/>
      <c r="Y24" s="139"/>
      <c r="Z24" s="12"/>
    </row>
    <row r="25" spans="1:32" x14ac:dyDescent="0.25">
      <c r="B25" s="42">
        <v>10</v>
      </c>
      <c r="C25" t="s">
        <v>232</v>
      </c>
      <c r="D25" s="42"/>
      <c r="E25" s="42"/>
      <c r="F25" s="42"/>
      <c r="G25" s="42"/>
      <c r="H25" s="42"/>
      <c r="I25" s="42"/>
      <c r="J25" s="42"/>
      <c r="L25" s="126">
        <v>43.9535300106905</v>
      </c>
      <c r="M25" s="6"/>
      <c r="N25" s="22">
        <v>2.4325932320537282E-2</v>
      </c>
      <c r="Q25" s="136"/>
      <c r="R25" s="137"/>
      <c r="S25" s="136"/>
      <c r="T25" s="136"/>
      <c r="U25" s="136"/>
      <c r="V25" s="136"/>
      <c r="W25" s="145"/>
      <c r="X25" s="136"/>
      <c r="Y25" s="139"/>
      <c r="Z25" s="12"/>
    </row>
    <row r="27" spans="1:32" x14ac:dyDescent="0.25">
      <c r="A27" s="2" t="s">
        <v>233</v>
      </c>
    </row>
    <row r="28" spans="1:32" x14ac:dyDescent="0.25">
      <c r="A28" s="24" t="s">
        <v>234</v>
      </c>
      <c r="J28" s="89" t="s">
        <v>244</v>
      </c>
    </row>
    <row r="29" spans="1:32" x14ac:dyDescent="0.25">
      <c r="L29" s="5"/>
      <c r="W29" s="31"/>
    </row>
    <row r="30" spans="1:32" x14ac:dyDescent="0.25">
      <c r="K30" s="31"/>
      <c r="L30" s="181" t="s">
        <v>67</v>
      </c>
      <c r="M30" s="181"/>
      <c r="N30" s="181"/>
      <c r="O30" s="181"/>
      <c r="P30" s="181"/>
      <c r="Q30" s="118"/>
      <c r="R30" s="181" t="s">
        <v>47</v>
      </c>
      <c r="S30" s="181"/>
      <c r="T30" s="181"/>
      <c r="U30" s="181"/>
      <c r="V30" s="181"/>
      <c r="W30" s="31"/>
      <c r="X30" s="181" t="s">
        <v>102</v>
      </c>
      <c r="Y30" s="181"/>
      <c r="Z30" s="181"/>
      <c r="AA30" s="181"/>
      <c r="AB30" s="181"/>
      <c r="AC30" s="64"/>
      <c r="AD30" s="181"/>
      <c r="AE30" s="181"/>
    </row>
    <row r="31" spans="1:32" x14ac:dyDescent="0.25">
      <c r="B31" s="30" t="s">
        <v>81</v>
      </c>
      <c r="C31" s="27"/>
      <c r="D31" s="27"/>
      <c r="E31" s="27"/>
      <c r="F31" s="27"/>
      <c r="G31" s="27"/>
      <c r="H31" s="27"/>
      <c r="I31" s="27"/>
      <c r="J31" s="27"/>
      <c r="K31" s="30">
        <v>2016</v>
      </c>
      <c r="L31" s="53">
        <v>2017</v>
      </c>
      <c r="M31" s="53">
        <v>2018</v>
      </c>
      <c r="N31" s="53">
        <v>2019</v>
      </c>
      <c r="O31" s="53">
        <v>2020</v>
      </c>
      <c r="P31" s="53">
        <v>2021</v>
      </c>
      <c r="Q31" s="102"/>
      <c r="R31" s="53">
        <f>L31</f>
        <v>2017</v>
      </c>
      <c r="S31" s="53">
        <f>M31</f>
        <v>2018</v>
      </c>
      <c r="T31" s="53">
        <f>N31</f>
        <v>2019</v>
      </c>
      <c r="U31" s="53">
        <f t="shared" ref="U31:V31" si="0">O31</f>
        <v>2020</v>
      </c>
      <c r="V31" s="53">
        <f t="shared" si="0"/>
        <v>2021</v>
      </c>
      <c r="W31" s="82"/>
      <c r="X31" s="53">
        <f t="shared" ref="X31:Z31" si="1">R31</f>
        <v>2017</v>
      </c>
      <c r="Y31" s="53">
        <f t="shared" si="1"/>
        <v>2018</v>
      </c>
      <c r="Z31" s="53">
        <f t="shared" si="1"/>
        <v>2019</v>
      </c>
      <c r="AA31" s="53">
        <f>V31</f>
        <v>2021</v>
      </c>
      <c r="AB31" s="53">
        <v>2021</v>
      </c>
      <c r="AC31" s="82"/>
      <c r="AD31" s="82"/>
      <c r="AE31" s="82"/>
      <c r="AF31" s="82"/>
    </row>
    <row r="32" spans="1:32" x14ac:dyDescent="0.25">
      <c r="C32" t="s">
        <v>12</v>
      </c>
      <c r="K32" s="7"/>
      <c r="L32" s="7">
        <v>76735.894</v>
      </c>
      <c r="M32" s="7">
        <v>77107.770999999993</v>
      </c>
      <c r="N32" s="7">
        <v>78336.092999999993</v>
      </c>
      <c r="O32" s="7">
        <v>76971.577999999994</v>
      </c>
      <c r="P32" s="7">
        <v>79912.928</v>
      </c>
      <c r="Q32" s="25"/>
      <c r="R32" s="47">
        <f t="shared" ref="R32:R40" si="2">L32/L$41</f>
        <v>577.80194815534162</v>
      </c>
      <c r="S32" s="47">
        <f t="shared" ref="S32:S40" si="3">M32/M$41</f>
        <v>624.26451401599979</v>
      </c>
      <c r="T32" s="47">
        <f t="shared" ref="T32:V40" si="4">N32/N$41</f>
        <v>645.09267283096881</v>
      </c>
      <c r="U32" s="47">
        <f t="shared" si="4"/>
        <v>620.16053517700425</v>
      </c>
      <c r="V32" s="47">
        <f t="shared" si="4"/>
        <v>662.21552596330673</v>
      </c>
      <c r="W32" s="85"/>
      <c r="X32" s="47">
        <f t="shared" ref="X32:X40" si="5">+L32*L$42/1000</f>
        <v>179.19949620089764</v>
      </c>
      <c r="Y32" s="47">
        <f t="shared" ref="Y32:AB40" si="6">+M32*M$42/1000</f>
        <v>200.70728390128409</v>
      </c>
      <c r="Z32" s="47">
        <f t="shared" si="6"/>
        <v>213.21603022409184</v>
      </c>
      <c r="AA32" s="47">
        <f t="shared" si="6"/>
        <v>226.43921620917953</v>
      </c>
      <c r="AB32" s="47">
        <f t="shared" si="6"/>
        <v>244.35752908046021</v>
      </c>
      <c r="AC32" s="25"/>
      <c r="AD32" s="25"/>
      <c r="AE32" s="25"/>
      <c r="AF32" s="70"/>
    </row>
    <row r="33" spans="2:32" x14ac:dyDescent="0.25">
      <c r="C33" t="s">
        <v>13</v>
      </c>
      <c r="K33" s="7"/>
      <c r="L33" s="7">
        <f>75290.712-L34</f>
        <v>43387.769</v>
      </c>
      <c r="M33" s="7">
        <f>75457.682-M34</f>
        <v>39997.908000000003</v>
      </c>
      <c r="N33" s="7">
        <f>75407.564-N34</f>
        <v>40400</v>
      </c>
      <c r="O33" s="7">
        <f>74229.267-O34</f>
        <v>40643.320000000007</v>
      </c>
      <c r="P33" s="7">
        <f>77281.959-P34</f>
        <v>41532.076000000001</v>
      </c>
      <c r="Q33" s="25"/>
      <c r="R33" s="47">
        <f t="shared" si="2"/>
        <v>326.69896898984376</v>
      </c>
      <c r="S33" s="47">
        <f t="shared" si="3"/>
        <v>323.82306316799998</v>
      </c>
      <c r="T33" s="47">
        <f t="shared" si="4"/>
        <v>332.69139402154184</v>
      </c>
      <c r="U33" s="47">
        <f t="shared" si="4"/>
        <v>327.46350974602922</v>
      </c>
      <c r="V33" s="47">
        <f t="shared" si="4"/>
        <v>344.16440795021339</v>
      </c>
      <c r="W33" s="85"/>
      <c r="X33" s="47">
        <f t="shared" si="5"/>
        <v>101.32241824251015</v>
      </c>
      <c r="Y33" s="47">
        <f t="shared" si="6"/>
        <v>104.11235303914367</v>
      </c>
      <c r="Z33" s="47">
        <f t="shared" si="6"/>
        <v>109.961159552</v>
      </c>
      <c r="AA33" s="47">
        <f t="shared" si="6"/>
        <v>119.56675131356762</v>
      </c>
      <c r="AB33" s="47">
        <f t="shared" si="6"/>
        <v>126.99666653362874</v>
      </c>
      <c r="AC33" s="25"/>
    </row>
    <row r="34" spans="2:32" x14ac:dyDescent="0.25">
      <c r="C34" s="27" t="s">
        <v>14</v>
      </c>
      <c r="D34" s="27"/>
      <c r="E34" s="27"/>
      <c r="F34" s="27"/>
      <c r="G34" s="27"/>
      <c r="H34" s="27"/>
      <c r="I34" s="27"/>
      <c r="J34" s="27"/>
      <c r="K34" s="71"/>
      <c r="L34" s="28">
        <v>31902.942999999999</v>
      </c>
      <c r="M34" s="28">
        <v>35459.773999999998</v>
      </c>
      <c r="N34" s="28">
        <v>35007.563999999998</v>
      </c>
      <c r="O34" s="28">
        <v>33585.947</v>
      </c>
      <c r="P34" s="28">
        <v>35749.883000000002</v>
      </c>
      <c r="Q34" s="31"/>
      <c r="R34" s="48">
        <f t="shared" si="2"/>
        <v>240.2211228201605</v>
      </c>
      <c r="S34" s="48">
        <f t="shared" si="3"/>
        <v>287.08233030399992</v>
      </c>
      <c r="T34" s="48">
        <f t="shared" si="4"/>
        <v>288.28503139748369</v>
      </c>
      <c r="U34" s="48">
        <f t="shared" si="4"/>
        <v>270.60220677750038</v>
      </c>
      <c r="V34" s="48">
        <f t="shared" si="4"/>
        <v>296.24903212120671</v>
      </c>
      <c r="W34" s="85"/>
      <c r="X34" s="48">
        <f t="shared" si="5"/>
        <v>74.502179031444584</v>
      </c>
      <c r="Y34" s="48">
        <f t="shared" si="6"/>
        <v>92.299840016039013</v>
      </c>
      <c r="Z34" s="48">
        <f t="shared" si="6"/>
        <v>95.28396857749631</v>
      </c>
      <c r="AA34" s="48">
        <f t="shared" si="6"/>
        <v>98.804983760668719</v>
      </c>
      <c r="AB34" s="48">
        <f t="shared" si="6"/>
        <v>109.31589285272527</v>
      </c>
      <c r="AC34" s="25"/>
      <c r="AD34" s="25"/>
      <c r="AE34" s="25"/>
      <c r="AF34" s="7"/>
    </row>
    <row r="35" spans="2:32" x14ac:dyDescent="0.25">
      <c r="D35" t="s">
        <v>15</v>
      </c>
      <c r="K35" s="7"/>
      <c r="L35" s="7">
        <f>(9020164+3697094)/1000</f>
        <v>12717.258</v>
      </c>
      <c r="M35" s="7">
        <f>(8632877+3823796)/1000</f>
        <v>12456.673000000001</v>
      </c>
      <c r="N35" s="7">
        <f>8694.843+4381.747</f>
        <v>13076.59</v>
      </c>
      <c r="O35" s="7">
        <f>9413.781+4838.344</f>
        <v>14252.125</v>
      </c>
      <c r="P35" s="7">
        <f>10330.253+5215.371</f>
        <v>15545.624</v>
      </c>
      <c r="Q35" s="25"/>
      <c r="R35" s="47">
        <f t="shared" si="2"/>
        <v>95.757748617538795</v>
      </c>
      <c r="S35" s="47">
        <f t="shared" si="3"/>
        <v>100.84922460799999</v>
      </c>
      <c r="T35" s="47">
        <f t="shared" si="4"/>
        <v>107.68487515218202</v>
      </c>
      <c r="U35" s="47">
        <f t="shared" si="4"/>
        <v>114.82946948819942</v>
      </c>
      <c r="V35" s="47">
        <f t="shared" si="4"/>
        <v>128.8221296757867</v>
      </c>
      <c r="W35" s="85"/>
      <c r="X35" s="47">
        <f t="shared" si="5"/>
        <v>29.698308156243478</v>
      </c>
      <c r="Y35" s="47">
        <f t="shared" si="6"/>
        <v>32.424034203718072</v>
      </c>
      <c r="Z35" s="47">
        <f t="shared" si="6"/>
        <v>35.592004935299201</v>
      </c>
      <c r="AA35" s="47">
        <f t="shared" si="6"/>
        <v>41.927684194226252</v>
      </c>
      <c r="AB35" s="47">
        <f t="shared" si="6"/>
        <v>47.535365850365281</v>
      </c>
      <c r="AC35" s="25"/>
      <c r="AD35" s="81"/>
      <c r="AF35" s="7"/>
    </row>
    <row r="36" spans="2:32" x14ac:dyDescent="0.25">
      <c r="D36" t="s">
        <v>16</v>
      </c>
      <c r="K36" s="7"/>
      <c r="L36" s="7">
        <f>L34-L35</f>
        <v>19185.684999999998</v>
      </c>
      <c r="M36" s="7">
        <f>M34-M35</f>
        <v>23003.100999999995</v>
      </c>
      <c r="N36" s="7">
        <f>N34-N35</f>
        <v>21930.973999999998</v>
      </c>
      <c r="O36" s="7">
        <f>O34-O35</f>
        <v>19333.822</v>
      </c>
      <c r="P36" s="7">
        <f>P34-P35</f>
        <v>20204.259000000002</v>
      </c>
      <c r="Q36" s="25"/>
      <c r="R36" s="47">
        <f t="shared" si="2"/>
        <v>144.46337420262171</v>
      </c>
      <c r="S36" s="47">
        <f t="shared" si="3"/>
        <v>186.23310569599994</v>
      </c>
      <c r="T36" s="47">
        <f t="shared" si="4"/>
        <v>180.60015624530169</v>
      </c>
      <c r="U36" s="47">
        <f t="shared" si="4"/>
        <v>155.77273728930098</v>
      </c>
      <c r="V36" s="47">
        <f t="shared" si="4"/>
        <v>167.42690244542004</v>
      </c>
      <c r="W36" s="85"/>
      <c r="X36" s="47">
        <f t="shared" si="5"/>
        <v>44.803870875201092</v>
      </c>
      <c r="Y36" s="47">
        <f t="shared" si="6"/>
        <v>59.875805812320934</v>
      </c>
      <c r="Z36" s="47">
        <f t="shared" si="6"/>
        <v>59.691963642197116</v>
      </c>
      <c r="AA36" s="47">
        <f t="shared" si="6"/>
        <v>56.877299566442467</v>
      </c>
      <c r="AB36" s="47">
        <f t="shared" si="6"/>
        <v>61.780527002359996</v>
      </c>
      <c r="AC36" s="25"/>
      <c r="AD36" s="81"/>
      <c r="AF36" s="7"/>
    </row>
    <row r="37" spans="2:32" x14ac:dyDescent="0.25">
      <c r="C37" s="27" t="s">
        <v>17</v>
      </c>
      <c r="D37" s="27"/>
      <c r="E37" s="27"/>
      <c r="F37" s="27"/>
      <c r="G37" s="27"/>
      <c r="H37" s="27"/>
      <c r="I37" s="27"/>
      <c r="J37" s="27"/>
      <c r="K37" s="71"/>
      <c r="L37" s="28">
        <v>62078.425000000003</v>
      </c>
      <c r="M37" s="28">
        <v>61787.196000000004</v>
      </c>
      <c r="N37" s="28">
        <v>63845.678999999996</v>
      </c>
      <c r="O37" s="28">
        <v>62930.067000000003</v>
      </c>
      <c r="P37" s="7">
        <v>65612.784</v>
      </c>
      <c r="Q37" s="25"/>
      <c r="R37" s="48">
        <f t="shared" si="2"/>
        <v>467.43489954538438</v>
      </c>
      <c r="S37" s="48">
        <f t="shared" si="3"/>
        <v>500.22913881599993</v>
      </c>
      <c r="T37" s="48">
        <f t="shared" si="4"/>
        <v>525.76504823668017</v>
      </c>
      <c r="U37" s="48">
        <f t="shared" si="4"/>
        <v>507.02798414038932</v>
      </c>
      <c r="V37" s="48">
        <f t="shared" si="4"/>
        <v>543.7143320099201</v>
      </c>
      <c r="W37" s="47"/>
      <c r="X37" s="48">
        <f t="shared" si="5"/>
        <v>144.97025974500551</v>
      </c>
      <c r="Y37" s="48">
        <f t="shared" si="6"/>
        <v>160.82867042073215</v>
      </c>
      <c r="Z37" s="48">
        <f t="shared" si="6"/>
        <v>173.7758637431875</v>
      </c>
      <c r="AA37" s="48">
        <f t="shared" si="6"/>
        <v>185.13112784918033</v>
      </c>
      <c r="AB37" s="48">
        <f t="shared" si="6"/>
        <v>200.63058851166051</v>
      </c>
      <c r="AC37" s="25"/>
      <c r="AD37" s="25"/>
      <c r="AE37" s="25"/>
      <c r="AF37" s="7"/>
    </row>
    <row r="38" spans="2:32" x14ac:dyDescent="0.25">
      <c r="C38" s="72"/>
      <c r="D38" s="72" t="s">
        <v>15</v>
      </c>
      <c r="E38" s="72"/>
      <c r="F38" s="72"/>
      <c r="G38" s="72"/>
      <c r="H38" s="72"/>
      <c r="I38" s="72"/>
      <c r="J38" s="72"/>
      <c r="K38" s="73"/>
      <c r="L38" s="74">
        <f>11196.788+9449.16+34978.628</f>
        <v>55624.576000000001</v>
      </c>
      <c r="M38" s="74">
        <f>13795.972+11449.119+29474.299</f>
        <v>54719.39</v>
      </c>
      <c r="N38" s="74">
        <f>16842.352+13415.975+24452.666</f>
        <v>54710.993000000002</v>
      </c>
      <c r="O38" s="74">
        <f>18929.035+14618.108+22055.669</f>
        <v>55602.811999999998</v>
      </c>
      <c r="P38" s="74">
        <f>23567.736+13054.833+19865.885</f>
        <v>56488.453999999998</v>
      </c>
      <c r="Q38" s="25"/>
      <c r="R38" s="129">
        <f t="shared" si="2"/>
        <v>418.83904262736365</v>
      </c>
      <c r="S38" s="129">
        <f t="shared" si="3"/>
        <v>443.00818143999993</v>
      </c>
      <c r="T38" s="129">
        <f t="shared" si="4"/>
        <v>450.54149825427766</v>
      </c>
      <c r="U38" s="129">
        <f t="shared" si="4"/>
        <v>447.99224003522903</v>
      </c>
      <c r="V38" s="129">
        <f t="shared" si="4"/>
        <v>468.10362494118669</v>
      </c>
      <c r="W38" s="47"/>
      <c r="X38" s="129">
        <f t="shared" si="5"/>
        <v>129.89874068045057</v>
      </c>
      <c r="Y38" s="129">
        <f t="shared" si="6"/>
        <v>142.43156041477437</v>
      </c>
      <c r="Z38" s="129">
        <f t="shared" si="6"/>
        <v>148.91297600300385</v>
      </c>
      <c r="AA38" s="129">
        <f t="shared" si="6"/>
        <v>163.57540660406318</v>
      </c>
      <c r="AB38" s="129">
        <f t="shared" si="6"/>
        <v>172.73023760329789</v>
      </c>
      <c r="AC38" s="25"/>
      <c r="AD38" s="25"/>
      <c r="AF38" s="7"/>
    </row>
    <row r="39" spans="2:32" x14ac:dyDescent="0.25">
      <c r="C39" s="31"/>
      <c r="D39" s="31" t="s">
        <v>16</v>
      </c>
      <c r="E39" s="31"/>
      <c r="F39" s="31"/>
      <c r="G39" s="31"/>
      <c r="H39" s="31"/>
      <c r="I39" s="31"/>
      <c r="J39" s="31"/>
      <c r="K39" s="70"/>
      <c r="L39" s="70">
        <f>4973.785+408.076+972.665+99.323</f>
        <v>6453.8490000000002</v>
      </c>
      <c r="M39" s="70">
        <f>5199.663+261.068+1540.075+67</f>
        <v>7067.8059999999996</v>
      </c>
      <c r="N39" s="70">
        <f>7608.059+12.076+1446.729+67.822</f>
        <v>9134.6859999999997</v>
      </c>
      <c r="O39" s="70">
        <f>7178.866+6.752+91.198+50.439</f>
        <v>7327.255000000001</v>
      </c>
      <c r="P39" s="70">
        <f>8995.585+6.959+67.304+54.482</f>
        <v>9124.33</v>
      </c>
      <c r="Q39" s="25"/>
      <c r="R39" s="47">
        <f t="shared" si="2"/>
        <v>48.595856918020701</v>
      </c>
      <c r="S39" s="47">
        <f t="shared" si="3"/>
        <v>57.220957375999987</v>
      </c>
      <c r="T39" s="47">
        <f t="shared" si="4"/>
        <v>75.223549982402517</v>
      </c>
      <c r="U39" s="47">
        <f t="shared" si="4"/>
        <v>59.035744105160234</v>
      </c>
      <c r="V39" s="47">
        <f t="shared" si="4"/>
        <v>75.610707068733348</v>
      </c>
      <c r="W39" s="85"/>
      <c r="X39" s="47">
        <f t="shared" si="5"/>
        <v>15.071519064554941</v>
      </c>
      <c r="Y39" s="47">
        <f t="shared" si="6"/>
        <v>18.397110005957753</v>
      </c>
      <c r="Z39" s="47">
        <f t="shared" si="6"/>
        <v>24.86288774018368</v>
      </c>
      <c r="AA39" s="47">
        <f t="shared" si="6"/>
        <v>21.555721245117155</v>
      </c>
      <c r="AB39" s="47">
        <f t="shared" si="6"/>
        <v>27.900350908362601</v>
      </c>
      <c r="AC39" s="25"/>
      <c r="AD39" s="25"/>
      <c r="AF39" s="7"/>
    </row>
    <row r="40" spans="2:32" x14ac:dyDescent="0.25">
      <c r="C40" s="27" t="s">
        <v>18</v>
      </c>
      <c r="D40" s="27"/>
      <c r="E40" s="27"/>
      <c r="F40" s="27"/>
      <c r="G40" s="27"/>
      <c r="H40" s="27"/>
      <c r="I40" s="27"/>
      <c r="J40" s="27"/>
      <c r="K40" s="71"/>
      <c r="L40" s="28">
        <v>9576.9950000000008</v>
      </c>
      <c r="M40" s="28">
        <v>8661.9320000000007</v>
      </c>
      <c r="N40" s="28">
        <v>9021.0589999999993</v>
      </c>
      <c r="O40" s="28">
        <v>9082.99</v>
      </c>
      <c r="P40" s="28">
        <v>9082.99</v>
      </c>
      <c r="Q40" s="25"/>
      <c r="R40" s="48">
        <f t="shared" si="2"/>
        <v>72.112359419100088</v>
      </c>
      <c r="S40" s="48">
        <f t="shared" si="3"/>
        <v>70.127001471999989</v>
      </c>
      <c r="T40" s="48">
        <f t="shared" si="4"/>
        <v>74.287838966845939</v>
      </c>
      <c r="U40" s="48">
        <f t="shared" si="4"/>
        <v>73.181713117631261</v>
      </c>
      <c r="V40" s="48">
        <f t="shared" si="4"/>
        <v>75.268134339533347</v>
      </c>
      <c r="W40" s="47"/>
      <c r="X40" s="48">
        <f t="shared" si="5"/>
        <v>22.364927150239701</v>
      </c>
      <c r="Y40" s="48">
        <f t="shared" si="6"/>
        <v>22.546532243262718</v>
      </c>
      <c r="Z40" s="48">
        <f t="shared" si="6"/>
        <v>24.553616535321918</v>
      </c>
      <c r="AA40" s="48">
        <f t="shared" si="6"/>
        <v>26.720838910640701</v>
      </c>
      <c r="AB40" s="48">
        <f t="shared" si="6"/>
        <v>27.773941571287803</v>
      </c>
      <c r="AC40" s="25"/>
      <c r="AD40" s="25"/>
      <c r="AE40" s="25"/>
      <c r="AF40" s="7"/>
    </row>
    <row r="41" spans="2:32" hidden="1" outlineLevel="1" x14ac:dyDescent="0.25">
      <c r="C41" s="13" t="s">
        <v>37</v>
      </c>
      <c r="D41" s="13"/>
      <c r="E41" s="13"/>
      <c r="F41" s="13"/>
      <c r="G41" s="13"/>
      <c r="H41" s="13"/>
      <c r="I41" s="13"/>
      <c r="J41" s="13"/>
      <c r="K41" s="13"/>
      <c r="L41" s="50">
        <v>132.80656848766736</v>
      </c>
      <c r="M41" s="50">
        <v>123.51778656126484</v>
      </c>
      <c r="N41" s="50">
        <v>121.4338595045957</v>
      </c>
      <c r="O41" s="50">
        <v>124.11556949206872</v>
      </c>
      <c r="P41" s="50">
        <v>120.67510480632851</v>
      </c>
      <c r="Q41" s="50"/>
      <c r="R41" s="32"/>
      <c r="S41" s="32"/>
      <c r="T41" s="13"/>
      <c r="U41" s="13"/>
      <c r="V41" s="13"/>
      <c r="W41" s="50"/>
      <c r="X41" s="32"/>
      <c r="Y41" s="32"/>
      <c r="Z41" s="13"/>
      <c r="AA41" s="32"/>
      <c r="AB41" s="32"/>
      <c r="AC41" s="32"/>
      <c r="AD41" s="25"/>
      <c r="AE41" s="25"/>
    </row>
    <row r="42" spans="2:32" hidden="1" outlineLevel="1" x14ac:dyDescent="0.25">
      <c r="C42" s="13" t="s">
        <v>235</v>
      </c>
      <c r="D42" s="13"/>
      <c r="E42" s="13"/>
      <c r="F42" s="13"/>
      <c r="G42" s="13"/>
      <c r="H42" s="13"/>
      <c r="I42" s="13"/>
      <c r="J42" s="13"/>
      <c r="K42" s="13"/>
      <c r="L42" s="50">
        <v>2.33527606</v>
      </c>
      <c r="M42" s="50">
        <v>2.6029449599999994</v>
      </c>
      <c r="N42" s="50">
        <v>2.72181088</v>
      </c>
      <c r="O42" s="50">
        <v>2.9418549300000003</v>
      </c>
      <c r="P42" s="50">
        <v>3.0577972200000003</v>
      </c>
      <c r="Q42" s="50"/>
      <c r="R42" s="32"/>
      <c r="S42" s="32"/>
      <c r="T42" s="13"/>
      <c r="U42" s="13"/>
      <c r="V42" s="13"/>
      <c r="W42" s="50"/>
      <c r="X42" s="32"/>
      <c r="Y42" s="32"/>
      <c r="Z42" s="13"/>
      <c r="AA42" s="32"/>
      <c r="AB42" s="32"/>
      <c r="AC42" s="32"/>
      <c r="AD42" s="25"/>
      <c r="AE42" s="25"/>
    </row>
    <row r="43" spans="2:32" collapsed="1" x14ac:dyDescent="0.25">
      <c r="K43" s="31"/>
      <c r="L43" s="31"/>
      <c r="M43" s="31"/>
      <c r="N43" s="31"/>
      <c r="O43" s="31"/>
      <c r="P43" s="31"/>
      <c r="Q43" s="118"/>
      <c r="R43" s="31"/>
      <c r="S43" s="31"/>
      <c r="T43" s="31"/>
      <c r="U43" s="31"/>
      <c r="V43" s="31"/>
      <c r="W43" s="31"/>
      <c r="X43" s="31"/>
      <c r="Y43" s="31"/>
      <c r="Z43" s="31"/>
    </row>
    <row r="44" spans="2:32" x14ac:dyDescent="0.25">
      <c r="B44" s="30" t="s">
        <v>8</v>
      </c>
      <c r="C44" s="27"/>
      <c r="D44" s="27"/>
      <c r="E44" s="27"/>
      <c r="F44" s="27"/>
      <c r="G44" s="27"/>
      <c r="H44" s="27"/>
      <c r="I44" s="27"/>
      <c r="J44" s="27"/>
      <c r="K44" s="27"/>
      <c r="L44" s="53">
        <f t="shared" ref="L44:N44" si="7">L31</f>
        <v>2017</v>
      </c>
      <c r="M44" s="53">
        <f t="shared" si="7"/>
        <v>2018</v>
      </c>
      <c r="N44" s="53">
        <f t="shared" si="7"/>
        <v>2019</v>
      </c>
      <c r="O44" s="53">
        <f>O31</f>
        <v>2020</v>
      </c>
      <c r="P44" s="53">
        <f>P31</f>
        <v>2021</v>
      </c>
      <c r="Q44" s="102"/>
      <c r="R44" s="53">
        <f>L44</f>
        <v>2017</v>
      </c>
      <c r="S44" s="53">
        <f>M44</f>
        <v>2018</v>
      </c>
      <c r="T44" s="53">
        <f>N44</f>
        <v>2019</v>
      </c>
      <c r="U44" s="53">
        <f t="shared" ref="U44:V44" si="8">O44</f>
        <v>2020</v>
      </c>
      <c r="V44" s="53">
        <f t="shared" si="8"/>
        <v>2021</v>
      </c>
      <c r="W44" s="82"/>
      <c r="X44" s="53">
        <f>L44</f>
        <v>2017</v>
      </c>
      <c r="Y44" s="53">
        <f>M44</f>
        <v>2018</v>
      </c>
      <c r="Z44" s="53">
        <f>N44</f>
        <v>2019</v>
      </c>
      <c r="AA44" s="53">
        <f>O44</f>
        <v>2020</v>
      </c>
      <c r="AB44" s="53">
        <v>2021</v>
      </c>
      <c r="AC44" s="82"/>
    </row>
    <row r="45" spans="2:32" x14ac:dyDescent="0.25">
      <c r="C45" t="s">
        <v>19</v>
      </c>
      <c r="K45" s="31"/>
      <c r="L45" s="7">
        <f>SUM(L46:L48)</f>
        <v>2057.018</v>
      </c>
      <c r="M45" s="7">
        <f>SUM(M46:M48)</f>
        <v>1893.3219999999999</v>
      </c>
      <c r="N45" s="7">
        <v>2434.7829999999999</v>
      </c>
      <c r="O45" s="7">
        <v>2537.846</v>
      </c>
      <c r="P45" s="7">
        <v>2492.6280000000002</v>
      </c>
      <c r="Q45" s="25"/>
      <c r="R45" s="47">
        <f t="shared" ref="R45:R53" si="9">L45/L$54</f>
        <v>15.331778501029483</v>
      </c>
      <c r="S45" s="47">
        <f t="shared" ref="S45:V53" si="10">M45/M$54</f>
        <v>14.844466405551316</v>
      </c>
      <c r="T45" s="47">
        <f t="shared" si="10"/>
        <v>19.788234857049332</v>
      </c>
      <c r="U45" s="47">
        <f t="shared" si="10"/>
        <v>20.501165093236764</v>
      </c>
      <c r="V45" s="47">
        <f t="shared" si="10"/>
        <v>20.357133838284117</v>
      </c>
      <c r="W45" s="85"/>
      <c r="X45" s="47">
        <f t="shared" ref="X45:X53" si="11">+L45*L$55/1000</f>
        <v>4.8037048903890796</v>
      </c>
      <c r="Y45" s="47">
        <f t="shared" ref="Y45:AB53" si="12">+M45*M$55/1000</f>
        <v>4.9282129575571192</v>
      </c>
      <c r="Z45" s="47">
        <f t="shared" si="12"/>
        <v>6.6270188598390396</v>
      </c>
      <c r="AA45" s="47">
        <f t="shared" si="12"/>
        <v>7.4659747666807803</v>
      </c>
      <c r="AB45" s="47">
        <f t="shared" si="12"/>
        <v>7.2983921505436653</v>
      </c>
      <c r="AC45" s="81"/>
      <c r="AD45" s="81"/>
      <c r="AE45" s="81"/>
      <c r="AF45" s="81"/>
    </row>
    <row r="46" spans="2:32" x14ac:dyDescent="0.25">
      <c r="D46" t="s">
        <v>20</v>
      </c>
      <c r="K46" s="31"/>
      <c r="L46" s="7">
        <v>2043.2809999999999</v>
      </c>
      <c r="M46" s="7">
        <v>2082.634</v>
      </c>
      <c r="N46" s="7">
        <v>1983.5229999999999</v>
      </c>
      <c r="O46" s="7">
        <v>1925.1880000000001</v>
      </c>
      <c r="P46" s="7">
        <v>2023.7670000000001</v>
      </c>
      <c r="Q46" s="25"/>
      <c r="R46" s="47">
        <f t="shared" si="9"/>
        <v>15.22939114162444</v>
      </c>
      <c r="S46" s="47">
        <f t="shared" si="10"/>
        <v>16.328754669337261</v>
      </c>
      <c r="T46" s="47">
        <f t="shared" si="10"/>
        <v>16.120705199748421</v>
      </c>
      <c r="U46" s="47">
        <f t="shared" si="10"/>
        <v>15.552006316978375</v>
      </c>
      <c r="V46" s="47">
        <f t="shared" si="10"/>
        <v>16.527975966130015</v>
      </c>
      <c r="W46" s="85"/>
      <c r="X46" s="47">
        <f t="shared" si="11"/>
        <v>4.7716252031528601</v>
      </c>
      <c r="Y46" s="47">
        <f t="shared" si="12"/>
        <v>5.420981673824639</v>
      </c>
      <c r="Z46" s="47">
        <f t="shared" si="12"/>
        <v>5.3987744821302392</v>
      </c>
      <c r="AA46" s="47">
        <f t="shared" si="12"/>
        <v>5.6636238089768414</v>
      </c>
      <c r="AB46" s="47">
        <f t="shared" si="12"/>
        <v>5.9255713998756745</v>
      </c>
      <c r="AC46" s="81"/>
    </row>
    <row r="47" spans="2:32" x14ac:dyDescent="0.25">
      <c r="C47" s="27"/>
      <c r="D47" s="27" t="s">
        <v>21</v>
      </c>
      <c r="E47" s="27"/>
      <c r="F47" s="27"/>
      <c r="G47" s="27"/>
      <c r="H47" s="27"/>
      <c r="I47" s="27"/>
      <c r="J47" s="27"/>
      <c r="K47" s="27"/>
      <c r="L47" s="28">
        <v>295.971</v>
      </c>
      <c r="M47" s="28">
        <v>463.03500000000003</v>
      </c>
      <c r="N47" s="28">
        <v>429.84500000000003</v>
      </c>
      <c r="O47" s="28">
        <v>425.62700000000001</v>
      </c>
      <c r="P47" s="28">
        <v>535.14599999999996</v>
      </c>
      <c r="Q47" s="25"/>
      <c r="R47" s="48">
        <f t="shared" si="9"/>
        <v>2.2059903290725686</v>
      </c>
      <c r="S47" s="48">
        <f t="shared" si="10"/>
        <v>3.6303954119238324</v>
      </c>
      <c r="T47" s="48">
        <f t="shared" si="10"/>
        <v>3.493483325671475</v>
      </c>
      <c r="U47" s="48">
        <f t="shared" si="10"/>
        <v>3.4382895554494182</v>
      </c>
      <c r="V47" s="48">
        <f t="shared" si="10"/>
        <v>4.3705032379570437</v>
      </c>
      <c r="W47" s="47"/>
      <c r="X47" s="48">
        <f t="shared" si="11"/>
        <v>0.69117399075426</v>
      </c>
      <c r="Y47" s="48">
        <f t="shared" si="12"/>
        <v>1.2052546195535998</v>
      </c>
      <c r="Z47" s="48">
        <f t="shared" si="12"/>
        <v>1.1699567977136001</v>
      </c>
      <c r="AA47" s="48">
        <f t="shared" si="12"/>
        <v>1.2521328882911102</v>
      </c>
      <c r="AB47" s="48">
        <f t="shared" si="12"/>
        <v>1.5669026287897112</v>
      </c>
      <c r="AC47" s="81"/>
    </row>
    <row r="48" spans="2:32" x14ac:dyDescent="0.25">
      <c r="D48" t="s">
        <v>22</v>
      </c>
      <c r="K48" s="31"/>
      <c r="L48" s="7">
        <f>-325.71+43.476</f>
        <v>-282.23399999999998</v>
      </c>
      <c r="M48" s="7">
        <f>-666.439+14.092</f>
        <v>-652.34699999999998</v>
      </c>
      <c r="N48" s="7">
        <f>-28.17+49.585</f>
        <v>21.414999999999999</v>
      </c>
      <c r="O48" s="7">
        <f>118.672+68.359</f>
        <v>187.03100000000001</v>
      </c>
      <c r="P48" s="7">
        <f>-84.228+17.943</f>
        <v>-66.284999999999997</v>
      </c>
      <c r="Q48" s="25"/>
      <c r="R48" s="47">
        <f t="shared" si="9"/>
        <v>-2.1036029696675258</v>
      </c>
      <c r="S48" s="47">
        <f t="shared" si="10"/>
        <v>-5.1146836757097756</v>
      </c>
      <c r="T48" s="47">
        <f t="shared" si="10"/>
        <v>0.17404633162943534</v>
      </c>
      <c r="U48" s="47">
        <f t="shared" si="10"/>
        <v>1.5108692208089716</v>
      </c>
      <c r="V48" s="47">
        <f t="shared" si="10"/>
        <v>-0.54134536580294468</v>
      </c>
      <c r="W48" s="85"/>
      <c r="X48" s="47">
        <f t="shared" si="11"/>
        <v>-0.65909430351803999</v>
      </c>
      <c r="Y48" s="47">
        <f t="shared" si="12"/>
        <v>-1.6980233358211196</v>
      </c>
      <c r="Z48" s="47">
        <f t="shared" si="12"/>
        <v>5.8287579995199998E-2</v>
      </c>
      <c r="AA48" s="47">
        <f t="shared" si="12"/>
        <v>0.55021806941283014</v>
      </c>
      <c r="AB48" s="47">
        <f t="shared" si="12"/>
        <v>-0.19408187812172006</v>
      </c>
      <c r="AC48" s="81"/>
    </row>
    <row r="49" spans="2:33" x14ac:dyDescent="0.25">
      <c r="C49" t="s">
        <v>23</v>
      </c>
      <c r="K49" s="31"/>
      <c r="L49" s="7">
        <v>-2200.366</v>
      </c>
      <c r="M49" s="7">
        <v>-2170.0500000000002</v>
      </c>
      <c r="N49" s="7">
        <v>-2097.6770000000001</v>
      </c>
      <c r="O49" s="7">
        <v>-2291.509</v>
      </c>
      <c r="P49" s="7">
        <v>-2413.92</v>
      </c>
      <c r="Q49" s="25"/>
      <c r="R49" s="47">
        <f t="shared" si="9"/>
        <v>-16.400208521848732</v>
      </c>
      <c r="S49" s="47">
        <f t="shared" si="10"/>
        <v>-17.014134058214417</v>
      </c>
      <c r="T49" s="47">
        <f t="shared" si="10"/>
        <v>-17.048470081412049</v>
      </c>
      <c r="U49" s="47">
        <f t="shared" si="10"/>
        <v>-18.511211602925425</v>
      </c>
      <c r="V49" s="47">
        <f t="shared" si="10"/>
        <v>-19.714330624108687</v>
      </c>
      <c r="W49" s="47"/>
      <c r="X49" s="47">
        <f t="shared" si="11"/>
        <v>-5.1384620430379604</v>
      </c>
      <c r="Y49" s="47">
        <f t="shared" si="12"/>
        <v>-5.6485207104479995</v>
      </c>
      <c r="Z49" s="47">
        <f t="shared" si="12"/>
        <v>-5.7094800813257605</v>
      </c>
      <c r="AA49" s="47">
        <f t="shared" si="12"/>
        <v>-6.7412870487893706</v>
      </c>
      <c r="AB49" s="47">
        <f t="shared" si="12"/>
        <v>-7.0679358412247497</v>
      </c>
      <c r="AC49" s="81"/>
      <c r="AD49" s="81"/>
      <c r="AE49" s="81"/>
      <c r="AF49" s="81"/>
    </row>
    <row r="50" spans="2:33" x14ac:dyDescent="0.25">
      <c r="C50" s="27" t="s">
        <v>24</v>
      </c>
      <c r="D50" s="27"/>
      <c r="E50" s="27"/>
      <c r="F50" s="27"/>
      <c r="G50" s="27"/>
      <c r="H50" s="27"/>
      <c r="I50" s="27"/>
      <c r="J50" s="27"/>
      <c r="K50" s="27"/>
      <c r="L50" s="28">
        <v>-741.61099999999999</v>
      </c>
      <c r="M50" s="28">
        <v>-634.15599999999995</v>
      </c>
      <c r="N50" s="28">
        <v>-199.08799999999999</v>
      </c>
      <c r="O50" s="28">
        <v>-135.001</v>
      </c>
      <c r="P50" s="28">
        <v>-56.735999999999997</v>
      </c>
      <c r="Q50" s="25"/>
      <c r="R50" s="48">
        <f t="shared" si="9"/>
        <v>-5.527523622023228</v>
      </c>
      <c r="S50" s="48">
        <f t="shared" si="10"/>
        <v>-4.9720583386654775</v>
      </c>
      <c r="T50" s="48">
        <f t="shared" si="10"/>
        <v>-1.6180497815288826</v>
      </c>
      <c r="U50" s="48">
        <f t="shared" si="10"/>
        <v>-1.090561755422534</v>
      </c>
      <c r="V50" s="48">
        <f t="shared" si="10"/>
        <v>-0.46335929205998144</v>
      </c>
      <c r="W50" s="47"/>
      <c r="X50" s="48">
        <f t="shared" si="11"/>
        <v>-1.7318664141326598</v>
      </c>
      <c r="Y50" s="48">
        <f t="shared" si="12"/>
        <v>-1.6506731640537595</v>
      </c>
      <c r="Z50" s="48">
        <f t="shared" si="12"/>
        <v>-0.54187988447743995</v>
      </c>
      <c r="AA50" s="48">
        <f t="shared" si="12"/>
        <v>-0.39715335740493002</v>
      </c>
      <c r="AB50" s="48">
        <f t="shared" si="12"/>
        <v>-0.16612249282814981</v>
      </c>
      <c r="AC50" s="81"/>
      <c r="AD50" s="81"/>
      <c r="AF50" s="81"/>
    </row>
    <row r="51" spans="2:33" x14ac:dyDescent="0.25">
      <c r="C51" t="s">
        <v>25</v>
      </c>
      <c r="K51" s="31"/>
      <c r="L51" s="7">
        <f>L45+L49+L50</f>
        <v>-884.95899999999995</v>
      </c>
      <c r="M51" s="7">
        <f>M45+M49+M50</f>
        <v>-910.88400000000024</v>
      </c>
      <c r="N51" s="7">
        <f>N45+N49+N50</f>
        <v>138.01799999999977</v>
      </c>
      <c r="O51" s="7">
        <f>O45+O49+O50</f>
        <v>111.33599999999998</v>
      </c>
      <c r="P51" s="7">
        <f>P45+P49+P50</f>
        <v>21.972000000000087</v>
      </c>
      <c r="Q51" s="25"/>
      <c r="R51" s="47">
        <f t="shared" si="9"/>
        <v>-6.5959536428424785</v>
      </c>
      <c r="S51" s="47">
        <f t="shared" si="10"/>
        <v>-7.1417259913285793</v>
      </c>
      <c r="T51" s="47">
        <f t="shared" si="10"/>
        <v>1.121714994108399</v>
      </c>
      <c r="U51" s="47">
        <f t="shared" si="10"/>
        <v>0.89939173488880253</v>
      </c>
      <c r="V51" s="47">
        <f t="shared" si="10"/>
        <v>0.17944392211544616</v>
      </c>
      <c r="W51" s="47"/>
      <c r="X51" s="47">
        <f t="shared" si="11"/>
        <v>-2.0666235667815398</v>
      </c>
      <c r="Y51" s="47">
        <f t="shared" si="12"/>
        <v>-2.3709809169446401</v>
      </c>
      <c r="Z51" s="47">
        <f t="shared" si="12"/>
        <v>0.37565889403583941</v>
      </c>
      <c r="AA51" s="47">
        <f t="shared" si="12"/>
        <v>0.32753436048647999</v>
      </c>
      <c r="AB51" s="47">
        <f t="shared" si="12"/>
        <v>6.4333816490766402E-2</v>
      </c>
      <c r="AC51" s="81"/>
    </row>
    <row r="52" spans="2:33" x14ac:dyDescent="0.25">
      <c r="C52" t="s">
        <v>26</v>
      </c>
      <c r="K52" s="31"/>
      <c r="L52" s="7">
        <v>62.125</v>
      </c>
      <c r="M52" s="7">
        <v>-67.072000000000003</v>
      </c>
      <c r="N52" s="130" t="s">
        <v>236</v>
      </c>
      <c r="O52" s="130" t="s">
        <v>236</v>
      </c>
      <c r="P52" s="130">
        <v>-18.135999999999999</v>
      </c>
      <c r="Q52" s="146"/>
      <c r="R52" s="47">
        <f t="shared" si="9"/>
        <v>0.46304249130365249</v>
      </c>
      <c r="S52" s="47">
        <f t="shared" si="10"/>
        <v>-0.52587359717635873</v>
      </c>
      <c r="T52" s="130" t="s">
        <v>236</v>
      </c>
      <c r="U52" s="130" t="s">
        <v>236</v>
      </c>
      <c r="V52" s="47">
        <f t="shared" si="10"/>
        <v>-0.1481155548646331</v>
      </c>
      <c r="W52" s="148"/>
      <c r="X52" s="47">
        <f t="shared" si="11"/>
        <v>0.14507902522750002</v>
      </c>
      <c r="Y52" s="47">
        <f t="shared" si="12"/>
        <v>-0.17458472435711997</v>
      </c>
      <c r="Z52" s="130" t="s">
        <v>236</v>
      </c>
      <c r="AA52" s="130" t="s">
        <v>236</v>
      </c>
      <c r="AB52" s="47">
        <f t="shared" si="12"/>
        <v>-5.3102043322252622E-2</v>
      </c>
      <c r="AC52" s="81"/>
    </row>
    <row r="53" spans="2:33" x14ac:dyDescent="0.25">
      <c r="C53" s="27" t="s">
        <v>27</v>
      </c>
      <c r="D53" s="27"/>
      <c r="E53" s="27"/>
      <c r="F53" s="27"/>
      <c r="G53" s="27"/>
      <c r="H53" s="27"/>
      <c r="I53" s="27"/>
      <c r="J53" s="27"/>
      <c r="K53" s="27"/>
      <c r="L53" s="28">
        <f>L51+L52</f>
        <v>-822.83399999999995</v>
      </c>
      <c r="M53" s="28">
        <f>M51+M52</f>
        <v>-977.95600000000024</v>
      </c>
      <c r="N53" s="28">
        <f>N51</f>
        <v>138.01799999999977</v>
      </c>
      <c r="O53" s="28">
        <f>O51</f>
        <v>111.33599999999998</v>
      </c>
      <c r="P53" s="28">
        <f>P51+P52</f>
        <v>3.8360000000000873</v>
      </c>
      <c r="Q53" s="25"/>
      <c r="R53" s="48">
        <f t="shared" si="9"/>
        <v>-6.1329111515388259</v>
      </c>
      <c r="S53" s="48">
        <f t="shared" si="10"/>
        <v>-7.6675995885049382</v>
      </c>
      <c r="T53" s="48">
        <f t="shared" si="10"/>
        <v>1.121714994108399</v>
      </c>
      <c r="U53" s="48">
        <f t="shared" si="10"/>
        <v>0.89939173488880253</v>
      </c>
      <c r="V53" s="48">
        <f t="shared" si="10"/>
        <v>3.1328367250813054E-2</v>
      </c>
      <c r="W53" s="47"/>
      <c r="X53" s="48">
        <f t="shared" si="11"/>
        <v>-1.9215445415540398</v>
      </c>
      <c r="Y53" s="48">
        <f t="shared" si="12"/>
        <v>-2.54556564130176</v>
      </c>
      <c r="Z53" s="48">
        <f t="shared" si="12"/>
        <v>0.37565889403583941</v>
      </c>
      <c r="AA53" s="48">
        <f t="shared" si="12"/>
        <v>0.32753436048647999</v>
      </c>
      <c r="AB53" s="48">
        <f t="shared" si="12"/>
        <v>1.1231773168513769E-2</v>
      </c>
      <c r="AC53" s="81"/>
      <c r="AD53" s="81"/>
      <c r="AE53" s="81"/>
      <c r="AF53" s="81"/>
      <c r="AG53" s="83"/>
    </row>
    <row r="54" spans="2:33" hidden="1" outlineLevel="1" x14ac:dyDescent="0.25">
      <c r="C54" s="13" t="s">
        <v>68</v>
      </c>
      <c r="D54" s="13"/>
      <c r="E54" s="13"/>
      <c r="F54" s="13"/>
      <c r="G54" s="13"/>
      <c r="H54" s="13"/>
      <c r="I54" s="13"/>
      <c r="J54" s="13"/>
      <c r="K54" s="37"/>
      <c r="L54" s="50">
        <v>134.16695263774372</v>
      </c>
      <c r="M54" s="50">
        <v>127.54395801602968</v>
      </c>
      <c r="N54" s="50">
        <v>123.04194980446356</v>
      </c>
      <c r="O54" s="50">
        <v>123.79033037674641</v>
      </c>
      <c r="P54" s="50">
        <v>122.44493845751036</v>
      </c>
      <c r="Q54" s="50"/>
      <c r="R54" s="31"/>
      <c r="S54" s="31"/>
      <c r="T54" s="31"/>
      <c r="U54" s="31"/>
      <c r="V54" s="31"/>
      <c r="W54" s="50"/>
      <c r="X54" s="31"/>
      <c r="Y54" s="31"/>
      <c r="Z54" s="31"/>
      <c r="AA54" s="32"/>
      <c r="AB54" s="32"/>
      <c r="AC54" s="32"/>
      <c r="AG54" s="83"/>
    </row>
    <row r="55" spans="2:33" hidden="1" outlineLevel="1" x14ac:dyDescent="0.25">
      <c r="C55" s="13" t="s">
        <v>237</v>
      </c>
      <c r="D55" s="13"/>
      <c r="E55" s="13"/>
      <c r="F55" s="13"/>
      <c r="G55" s="13"/>
      <c r="H55" s="13"/>
      <c r="I55" s="13"/>
      <c r="J55" s="13"/>
      <c r="K55" s="37"/>
      <c r="L55" s="50">
        <v>2.33527606</v>
      </c>
      <c r="M55" s="50">
        <v>2.6029449599999994</v>
      </c>
      <c r="N55" s="50">
        <v>2.72181088</v>
      </c>
      <c r="O55" s="50">
        <v>2.9418549300000003</v>
      </c>
      <c r="P55" s="50">
        <v>2.9279909198418959</v>
      </c>
      <c r="Q55" s="50"/>
      <c r="R55" s="31"/>
      <c r="S55" s="31"/>
      <c r="T55" s="31"/>
      <c r="U55" s="31"/>
      <c r="V55" s="31"/>
      <c r="W55" s="50"/>
      <c r="X55" s="31"/>
      <c r="Y55" s="31"/>
      <c r="Z55" s="31"/>
      <c r="AA55" s="32"/>
      <c r="AB55" s="32"/>
      <c r="AC55" s="32"/>
      <c r="AG55" s="83"/>
    </row>
    <row r="56" spans="2:33" collapsed="1" x14ac:dyDescent="0.25">
      <c r="L56" s="31"/>
      <c r="M56" s="31"/>
      <c r="N56" s="31"/>
      <c r="O56" s="31"/>
      <c r="P56" s="31"/>
      <c r="Q56" s="31"/>
      <c r="R56" s="31"/>
      <c r="S56" s="31"/>
      <c r="T56" s="31"/>
      <c r="U56" s="31"/>
      <c r="V56" s="31"/>
      <c r="W56" s="12"/>
    </row>
    <row r="57" spans="2:33" x14ac:dyDescent="0.25">
      <c r="B57" s="30" t="s">
        <v>9</v>
      </c>
      <c r="C57" s="27"/>
      <c r="D57" s="27"/>
      <c r="E57" s="27"/>
      <c r="F57" s="27"/>
      <c r="G57" s="27"/>
      <c r="H57" s="27"/>
      <c r="I57" s="27"/>
      <c r="J57" s="27"/>
      <c r="K57" s="27"/>
      <c r="L57" s="53">
        <f t="shared" ref="L57:M57" si="13">L44</f>
        <v>2017</v>
      </c>
      <c r="M57" s="53">
        <f t="shared" si="13"/>
        <v>2018</v>
      </c>
      <c r="N57" s="53">
        <f t="shared" ref="N57:P57" si="14">N44</f>
        <v>2019</v>
      </c>
      <c r="O57" s="53">
        <f t="shared" si="14"/>
        <v>2020</v>
      </c>
      <c r="P57" s="53">
        <f t="shared" si="14"/>
        <v>2021</v>
      </c>
      <c r="Q57" s="82"/>
      <c r="R57" s="31"/>
      <c r="S57" s="31"/>
      <c r="T57" s="31"/>
      <c r="U57" s="31"/>
      <c r="V57" s="31"/>
      <c r="AA57" s="53"/>
      <c r="AB57" s="82"/>
    </row>
    <row r="58" spans="2:33" x14ac:dyDescent="0.25">
      <c r="C58" t="s">
        <v>10</v>
      </c>
      <c r="L58" s="26">
        <f t="shared" ref="L58:M58" si="15">L53/AVERAGE(K40:L40)</f>
        <v>-8.5917764392693108E-2</v>
      </c>
      <c r="M58" s="26">
        <f t="shared" si="15"/>
        <v>-0.10723832602652558</v>
      </c>
      <c r="N58" s="26">
        <f t="shared" ref="N58" si="16">N53/AVERAGE(M40:N40)</f>
        <v>1.561025507506052E-2</v>
      </c>
      <c r="O58" s="26">
        <f t="shared" ref="O58" si="17">O53/AVERAGE(N40:O40)</f>
        <v>1.2299569008015831E-2</v>
      </c>
      <c r="P58" s="26">
        <f>P53/AVERAGE(O40:P40)</f>
        <v>4.2232788982483606E-4</v>
      </c>
      <c r="Q58" s="26"/>
      <c r="R58" s="31"/>
      <c r="S58" s="31"/>
      <c r="T58" s="31"/>
      <c r="U58" s="31"/>
      <c r="V58" s="31"/>
      <c r="AA58" s="26"/>
      <c r="AB58" s="26"/>
      <c r="AE58" s="26"/>
    </row>
    <row r="59" spans="2:33" x14ac:dyDescent="0.25">
      <c r="C59" t="s">
        <v>11</v>
      </c>
      <c r="L59" s="26">
        <f t="shared" ref="L59:M59" si="18">L53/AVERAGE(K$32:L$32)</f>
        <v>-1.0722934954012525E-2</v>
      </c>
      <c r="M59" s="26">
        <f t="shared" si="18"/>
        <v>-1.2713633674808779E-2</v>
      </c>
      <c r="N59" s="26">
        <f t="shared" ref="N59" si="19">N53/AVERAGE(M$32:N$32)</f>
        <v>1.7757921920932148E-3</v>
      </c>
      <c r="O59" s="26">
        <f t="shared" ref="O59" si="20">O53/AVERAGE(N$32:O$32)</f>
        <v>1.4337475964081646E-3</v>
      </c>
      <c r="P59" s="26">
        <f>P53/AVERAGE(O$32:P$32)</f>
        <v>4.890221600340938E-5</v>
      </c>
      <c r="Q59" s="26"/>
      <c r="R59" s="31"/>
      <c r="S59" s="31"/>
      <c r="T59" s="31"/>
      <c r="U59" s="31"/>
      <c r="V59" s="31"/>
      <c r="AA59" s="26"/>
      <c r="AB59" s="26"/>
      <c r="AE59" s="26"/>
    </row>
    <row r="60" spans="2:33" x14ac:dyDescent="0.25">
      <c r="C60" s="27" t="s">
        <v>49</v>
      </c>
      <c r="D60" s="27"/>
      <c r="E60" s="27"/>
      <c r="F60" s="27"/>
      <c r="G60" s="27"/>
      <c r="H60" s="27"/>
      <c r="I60" s="27"/>
      <c r="J60" s="27"/>
      <c r="K60" s="27"/>
      <c r="L60" s="29">
        <f t="shared" ref="L60:M61" si="21">L45/AVERAGE(K$32:L$32)</f>
        <v>2.6806464260389018E-2</v>
      </c>
      <c r="M60" s="29">
        <f t="shared" si="21"/>
        <v>2.4613584186258176E-2</v>
      </c>
      <c r="N60" s="29">
        <f t="shared" ref="N60:N61" si="22">N45/AVERAGE(M$32:N$32)</f>
        <v>3.1326846069652511E-2</v>
      </c>
      <c r="O60" s="29">
        <f t="shared" ref="O60:O61" si="23">O45/AVERAGE(N$32:O$32)</f>
        <v>3.2681528010293844E-2</v>
      </c>
      <c r="P60" s="29">
        <f t="shared" ref="P60:P61" si="24">P45/AVERAGE(O$32:P$32)</f>
        <v>3.1776598767503529E-2</v>
      </c>
      <c r="Q60" s="26"/>
      <c r="R60" s="31"/>
      <c r="S60" s="31"/>
      <c r="T60" s="31"/>
      <c r="U60" s="31"/>
      <c r="V60" s="31"/>
      <c r="AA60" s="29"/>
      <c r="AB60" s="26"/>
    </row>
    <row r="61" spans="2:33" x14ac:dyDescent="0.25">
      <c r="C61" t="s">
        <v>50</v>
      </c>
      <c r="L61" s="26">
        <f t="shared" si="21"/>
        <v>2.6627447645296214E-2</v>
      </c>
      <c r="M61" s="26">
        <f t="shared" si="21"/>
        <v>2.7074680000635714E-2</v>
      </c>
      <c r="N61" s="26">
        <f t="shared" si="22"/>
        <v>2.5520762916701554E-2</v>
      </c>
      <c r="O61" s="26">
        <f t="shared" si="23"/>
        <v>2.4791924154216445E-2</v>
      </c>
      <c r="P61" s="26">
        <f t="shared" si="24"/>
        <v>2.5799450201921151E-2</v>
      </c>
      <c r="Q61" s="26"/>
      <c r="R61" s="31"/>
      <c r="S61" s="31"/>
      <c r="T61" s="31"/>
      <c r="U61" s="31"/>
      <c r="V61" s="31"/>
      <c r="AA61" s="26"/>
      <c r="AB61" s="26"/>
    </row>
    <row r="62" spans="2:33" x14ac:dyDescent="0.25">
      <c r="C62" t="s">
        <v>51</v>
      </c>
      <c r="L62" s="26">
        <f t="shared" ref="L62:M62" si="25">-L49/L45</f>
        <v>1.0696872851866148</v>
      </c>
      <c r="M62" s="26">
        <f t="shared" si="25"/>
        <v>1.1461600298311647</v>
      </c>
      <c r="N62" s="26">
        <f t="shared" ref="N62:P62" si="26">-N49/N45</f>
        <v>0.86154577225157236</v>
      </c>
      <c r="O62" s="26">
        <f t="shared" si="26"/>
        <v>0.90293461462988689</v>
      </c>
      <c r="P62" s="26">
        <f t="shared" si="26"/>
        <v>0.96842368777049759</v>
      </c>
      <c r="Q62" s="26"/>
      <c r="R62" s="31"/>
      <c r="S62" s="31"/>
      <c r="T62" s="31"/>
      <c r="U62" s="31"/>
      <c r="V62" s="31"/>
      <c r="AA62" s="26"/>
      <c r="AB62" s="26"/>
    </row>
    <row r="63" spans="2:33" x14ac:dyDescent="0.25">
      <c r="C63" s="27" t="s">
        <v>52</v>
      </c>
      <c r="D63" s="27"/>
      <c r="E63" s="27"/>
      <c r="F63" s="27"/>
      <c r="G63" s="27"/>
      <c r="H63" s="27"/>
      <c r="I63" s="27"/>
      <c r="J63" s="27"/>
      <c r="K63" s="27"/>
      <c r="L63" s="29">
        <f t="shared" ref="L63:M64" si="27">-L49/AVERAGE(K$32:L$32)</f>
        <v>2.8674533980147542E-2</v>
      </c>
      <c r="M63" s="29">
        <f t="shared" si="27"/>
        <v>2.8211106385173552E-2</v>
      </c>
      <c r="N63" s="29">
        <f t="shared" ref="N63:N64" si="28">-N49/AVERAGE(M$32:N$32)</f>
        <v>2.6989511789284909E-2</v>
      </c>
      <c r="O63" s="29">
        <f t="shared" ref="O63:O64" si="29">-O49/AVERAGE(N$32:O$32)</f>
        <v>2.9509282899490528E-2</v>
      </c>
      <c r="P63" s="29">
        <f t="shared" ref="P63:P64" si="30">-P49/AVERAGE(O$32:P$32)</f>
        <v>3.0773210963229221E-2</v>
      </c>
      <c r="Q63" s="26"/>
      <c r="R63" s="31"/>
      <c r="S63" s="31"/>
      <c r="T63" s="31"/>
      <c r="U63" s="31"/>
      <c r="V63" s="31"/>
      <c r="AA63" s="29"/>
      <c r="AB63" s="26"/>
    </row>
    <row r="64" spans="2:33" x14ac:dyDescent="0.25">
      <c r="C64" t="s">
        <v>53</v>
      </c>
      <c r="L64" s="26">
        <f t="shared" si="27"/>
        <v>9.6644602850394883E-3</v>
      </c>
      <c r="M64" s="26">
        <f t="shared" si="27"/>
        <v>8.2441613699205628E-3</v>
      </c>
      <c r="N64" s="26">
        <f t="shared" si="28"/>
        <v>2.5615420882743882E-3</v>
      </c>
      <c r="O64" s="26">
        <f t="shared" si="29"/>
        <v>1.7384975143951522E-3</v>
      </c>
      <c r="P64" s="26">
        <f t="shared" si="30"/>
        <v>7.2328366193153575E-4</v>
      </c>
      <c r="Q64" s="26"/>
      <c r="R64" s="31"/>
      <c r="S64" s="31"/>
      <c r="T64" s="31"/>
      <c r="U64" s="31"/>
      <c r="V64" s="31"/>
      <c r="AA64" s="26"/>
      <c r="AB64" s="26"/>
    </row>
    <row r="65" spans="1:28" x14ac:dyDescent="0.25">
      <c r="C65" t="s">
        <v>54</v>
      </c>
      <c r="L65" s="26">
        <f>L34/L37</f>
        <v>0.51391353759377756</v>
      </c>
      <c r="M65" s="26">
        <f>M34/M37</f>
        <v>0.57390165431685869</v>
      </c>
      <c r="N65" s="26">
        <f t="shared" ref="N65:P65" si="31">N34/N37</f>
        <v>0.54831532138611916</v>
      </c>
      <c r="O65" s="26">
        <f t="shared" si="31"/>
        <v>0.53370270525852126</v>
      </c>
      <c r="P65" s="26">
        <f t="shared" si="31"/>
        <v>0.54486154710338164</v>
      </c>
      <c r="Q65" s="26"/>
      <c r="R65" s="31"/>
      <c r="S65" s="31"/>
      <c r="T65" s="31"/>
      <c r="U65" s="31"/>
      <c r="V65" s="31"/>
      <c r="AA65" s="26"/>
      <c r="AB65" s="26"/>
    </row>
    <row r="66" spans="1:28" x14ac:dyDescent="0.25">
      <c r="P66" s="31"/>
      <c r="Q66" s="118"/>
      <c r="R66" s="31"/>
    </row>
    <row r="67" spans="1:28" x14ac:dyDescent="0.25">
      <c r="B67" s="34" t="s">
        <v>5</v>
      </c>
      <c r="C67" s="35"/>
      <c r="D67" s="35"/>
      <c r="E67" s="35"/>
      <c r="F67" s="35"/>
      <c r="G67" s="35"/>
      <c r="H67" s="35"/>
      <c r="I67" s="35"/>
      <c r="J67" s="35"/>
      <c r="K67" s="35"/>
      <c r="L67" s="55">
        <f t="shared" ref="L67:M67" si="32">L57</f>
        <v>2017</v>
      </c>
      <c r="M67" s="55">
        <f t="shared" si="32"/>
        <v>2018</v>
      </c>
      <c r="N67" s="55">
        <f>N57</f>
        <v>2019</v>
      </c>
      <c r="O67" s="55">
        <f>O57</f>
        <v>2020</v>
      </c>
      <c r="P67" s="55">
        <v>2021</v>
      </c>
      <c r="Q67" s="102"/>
      <c r="R67" s="31"/>
    </row>
    <row r="68" spans="1:28" x14ac:dyDescent="0.25">
      <c r="C68" s="31" t="s">
        <v>6</v>
      </c>
      <c r="D68" s="31"/>
      <c r="E68" s="31"/>
      <c r="F68" s="31"/>
      <c r="G68" s="31"/>
      <c r="H68" s="31"/>
      <c r="I68" s="31"/>
      <c r="J68" s="31"/>
      <c r="K68" s="31"/>
      <c r="L68" s="31">
        <v>422</v>
      </c>
      <c r="M68" s="31">
        <v>419</v>
      </c>
      <c r="N68" s="25">
        <v>418</v>
      </c>
      <c r="O68" s="25">
        <v>416</v>
      </c>
      <c r="P68" s="25">
        <v>410</v>
      </c>
      <c r="Q68" s="25"/>
      <c r="R68" s="31"/>
    </row>
    <row r="69" spans="1:28" x14ac:dyDescent="0.25">
      <c r="C69" s="35" t="s">
        <v>7</v>
      </c>
      <c r="D69" s="35"/>
      <c r="E69" s="35"/>
      <c r="F69" s="35"/>
      <c r="G69" s="35"/>
      <c r="H69" s="35"/>
      <c r="I69" s="35"/>
      <c r="J69" s="35"/>
      <c r="K69" s="35"/>
      <c r="L69" s="35">
        <v>34</v>
      </c>
      <c r="M69" s="35">
        <v>33</v>
      </c>
      <c r="N69" s="36">
        <v>33</v>
      </c>
      <c r="O69" s="36">
        <v>34</v>
      </c>
      <c r="P69" s="36">
        <v>34</v>
      </c>
      <c r="Q69" s="25"/>
      <c r="R69" s="31"/>
    </row>
    <row r="70" spans="1:28" x14ac:dyDescent="0.25">
      <c r="C70" s="118" t="s">
        <v>243</v>
      </c>
      <c r="D70" s="31"/>
      <c r="E70" s="31"/>
      <c r="F70" s="31"/>
      <c r="G70" s="31"/>
      <c r="H70" s="31"/>
      <c r="I70" s="31"/>
      <c r="J70" s="31"/>
      <c r="K70" s="31"/>
      <c r="L70" s="132">
        <v>89.204142994780582</v>
      </c>
      <c r="M70" s="132">
        <v>119.71773689893246</v>
      </c>
      <c r="N70" s="70">
        <f>46431.768*N55/1000</f>
        <v>126.37849132003583</v>
      </c>
      <c r="O70" s="70">
        <f>46431.768*O55/1000</f>
        <v>136.59552559941625</v>
      </c>
      <c r="P70" s="70">
        <f>46431.768*P55/1000</f>
        <v>135.9517950962055</v>
      </c>
      <c r="Q70" s="147"/>
      <c r="R70" s="31"/>
      <c r="S70" s="186"/>
      <c r="T70" s="186"/>
      <c r="U70" s="186"/>
      <c r="V70" s="186"/>
    </row>
    <row r="71" spans="1:28" x14ac:dyDescent="0.25">
      <c r="O71" s="7"/>
      <c r="P71" s="31"/>
      <c r="Q71" s="31"/>
      <c r="R71" s="31"/>
      <c r="Y71" s="149" t="s">
        <v>245</v>
      </c>
      <c r="Z71" s="183">
        <f ca="1">TODAY()</f>
        <v>44963</v>
      </c>
      <c r="AA71" s="183"/>
    </row>
    <row r="72" spans="1:28" x14ac:dyDescent="0.25">
      <c r="A72" s="52" t="s">
        <v>107</v>
      </c>
    </row>
    <row r="73" spans="1:28" x14ac:dyDescent="0.25">
      <c r="A73" s="52" t="s">
        <v>83</v>
      </c>
    </row>
  </sheetData>
  <mergeCells count="9">
    <mergeCell ref="Z71:AA71"/>
    <mergeCell ref="W13:Y13"/>
    <mergeCell ref="L13:N13"/>
    <mergeCell ref="AD30:AE30"/>
    <mergeCell ref="L30:P30"/>
    <mergeCell ref="X30:AB30"/>
    <mergeCell ref="R30:V30"/>
    <mergeCell ref="S70:T70"/>
    <mergeCell ref="U70:V70"/>
  </mergeCells>
  <hyperlinks>
    <hyperlink ref="J11" r:id="rId1" xr:uid="{00000000-0004-0000-0100-000000000000}"/>
  </hyperlinks>
  <pageMargins left="0.39370078740157483" right="0.31496062992125984" top="0.39370078740157483" bottom="0.31496062992125984" header="0.31496062992125984" footer="0.31496062992125984"/>
  <pageSetup paperSize="9" scale="6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73"/>
  <sheetViews>
    <sheetView view="pageBreakPreview" zoomScaleNormal="100" zoomScaleSheetLayoutView="100" workbookViewId="0">
      <pane ySplit="2" topLeftCell="A3" activePane="bottomLeft" state="frozen"/>
      <selection activeCell="N57" sqref="N57"/>
      <selection pane="bottomLeft" activeCell="A2" sqref="A2"/>
    </sheetView>
  </sheetViews>
  <sheetFormatPr defaultRowHeight="15" outlineLevelRow="1" outlineLevelCol="1" x14ac:dyDescent="0.25"/>
  <cols>
    <col min="1" max="10" width="4.42578125" customWidth="1"/>
    <col min="11" max="11" width="8.85546875" hidden="1" customWidth="1" outlineLevel="1"/>
    <col min="12" max="12" width="8.85546875" customWidth="1" collapsed="1"/>
    <col min="13" max="14" width="8.85546875" customWidth="1"/>
    <col min="15" max="15" width="8.28515625" customWidth="1"/>
    <col min="16" max="18" width="8.85546875" customWidth="1"/>
    <col min="19" max="19" width="9" customWidth="1"/>
    <col min="20" max="20" width="7.28515625" customWidth="1"/>
  </cols>
  <sheetData>
    <row r="1" spans="1:20" ht="18.75" x14ac:dyDescent="0.3">
      <c r="A1" s="41" t="s">
        <v>151</v>
      </c>
    </row>
    <row r="3" spans="1:20" x14ac:dyDescent="0.25">
      <c r="A3" t="s">
        <v>0</v>
      </c>
      <c r="L3" s="57" t="s">
        <v>152</v>
      </c>
      <c r="Q3" s="1"/>
      <c r="R3" s="1"/>
      <c r="S3" s="1"/>
      <c r="T3" s="1"/>
    </row>
    <row r="4" spans="1:20" x14ac:dyDescent="0.25">
      <c r="A4" t="s">
        <v>88</v>
      </c>
      <c r="L4" s="56" t="s">
        <v>167</v>
      </c>
      <c r="O4" s="3"/>
      <c r="Q4" s="3"/>
      <c r="R4" s="3"/>
      <c r="S4" s="3"/>
      <c r="T4" s="3"/>
    </row>
    <row r="6" spans="1:20" x14ac:dyDescent="0.25">
      <c r="A6" t="s">
        <v>1</v>
      </c>
      <c r="L6" s="12" t="s">
        <v>93</v>
      </c>
    </row>
    <row r="7" spans="1:20" x14ac:dyDescent="0.25">
      <c r="A7" t="s">
        <v>153</v>
      </c>
      <c r="L7" s="12" t="s">
        <v>154</v>
      </c>
    </row>
    <row r="8" spans="1:20" x14ac:dyDescent="0.25">
      <c r="A8" t="s">
        <v>2</v>
      </c>
      <c r="L8" s="12" t="s">
        <v>155</v>
      </c>
    </row>
    <row r="9" spans="1:20" x14ac:dyDescent="0.25">
      <c r="A9" t="s">
        <v>4</v>
      </c>
      <c r="L9" s="88" t="s">
        <v>156</v>
      </c>
      <c r="M9" s="4"/>
      <c r="N9" s="4"/>
      <c r="O9" s="4"/>
      <c r="Q9" s="4"/>
      <c r="R9" s="4"/>
      <c r="S9" s="4"/>
      <c r="T9" s="4"/>
    </row>
    <row r="10" spans="1:20" x14ac:dyDescent="0.25">
      <c r="A10" t="s">
        <v>84</v>
      </c>
      <c r="L10" s="88" t="s">
        <v>87</v>
      </c>
      <c r="M10" s="4"/>
      <c r="N10" s="4"/>
      <c r="O10" s="4"/>
      <c r="Q10" s="4"/>
      <c r="R10" s="4"/>
      <c r="S10" s="4"/>
      <c r="T10" s="4"/>
    </row>
    <row r="11" spans="1:20" x14ac:dyDescent="0.25">
      <c r="A11" t="s">
        <v>185</v>
      </c>
      <c r="L11" s="57" t="s">
        <v>190</v>
      </c>
    </row>
    <row r="12" spans="1:20" x14ac:dyDescent="0.25">
      <c r="Q12" s="64"/>
      <c r="R12" s="64"/>
      <c r="S12" s="64"/>
      <c r="T12" s="64"/>
    </row>
    <row r="13" spans="1:20" x14ac:dyDescent="0.25">
      <c r="A13" s="90" t="s">
        <v>157</v>
      </c>
      <c r="B13" s="12"/>
      <c r="C13" s="12"/>
      <c r="D13" s="12"/>
      <c r="E13" s="12"/>
      <c r="F13" s="12"/>
      <c r="G13" s="12"/>
      <c r="H13" s="12"/>
      <c r="I13" s="12"/>
      <c r="J13" s="12"/>
      <c r="K13" s="12"/>
      <c r="L13" s="12"/>
      <c r="M13" s="12"/>
      <c r="N13" s="12"/>
      <c r="O13" s="12"/>
      <c r="P13" s="12"/>
      <c r="Q13" s="64"/>
      <c r="R13" s="64"/>
      <c r="S13" s="64"/>
      <c r="T13" s="64"/>
    </row>
    <row r="14" spans="1:20" x14ac:dyDescent="0.25">
      <c r="A14" s="91" t="s">
        <v>158</v>
      </c>
      <c r="B14" s="12"/>
      <c r="C14" s="12"/>
      <c r="D14" s="12"/>
      <c r="E14" s="12"/>
      <c r="F14" s="12"/>
      <c r="G14" s="12"/>
      <c r="H14" s="12"/>
      <c r="I14" s="12"/>
      <c r="J14" s="12"/>
      <c r="K14" s="12"/>
      <c r="L14" s="12"/>
      <c r="M14" s="12"/>
      <c r="N14" s="12"/>
      <c r="O14" s="12"/>
      <c r="P14" s="12"/>
      <c r="Q14" s="64"/>
      <c r="R14" s="64"/>
      <c r="S14" s="64"/>
      <c r="T14" s="64"/>
    </row>
    <row r="15" spans="1:20" x14ac:dyDescent="0.25">
      <c r="A15" s="12" t="s">
        <v>159</v>
      </c>
      <c r="B15" s="12"/>
      <c r="C15" s="12"/>
      <c r="D15" s="12"/>
      <c r="E15" s="12"/>
      <c r="F15" s="12"/>
      <c r="G15" s="12"/>
      <c r="H15" s="12"/>
      <c r="I15" s="92"/>
      <c r="J15" s="12"/>
      <c r="K15" s="12"/>
      <c r="L15" s="12"/>
      <c r="M15" s="12"/>
      <c r="N15" s="12"/>
      <c r="O15" s="12"/>
      <c r="P15" s="12"/>
    </row>
    <row r="16" spans="1:20" x14ac:dyDescent="0.25">
      <c r="A16" s="12"/>
      <c r="B16" s="12"/>
      <c r="C16" s="93" t="s">
        <v>160</v>
      </c>
      <c r="D16" s="12"/>
      <c r="E16" s="12"/>
      <c r="F16" s="12"/>
      <c r="G16" s="12"/>
      <c r="H16" s="12"/>
      <c r="I16" s="92"/>
      <c r="J16" s="12"/>
      <c r="K16" s="12"/>
      <c r="L16" s="94"/>
      <c r="M16" s="12"/>
      <c r="N16" s="12"/>
      <c r="O16" s="12"/>
      <c r="P16" s="12"/>
    </row>
    <row r="17" spans="1:20" x14ac:dyDescent="0.25">
      <c r="A17" s="12"/>
      <c r="B17" s="12"/>
      <c r="C17" s="12"/>
      <c r="D17" s="12"/>
      <c r="E17" s="12"/>
      <c r="F17" s="12"/>
      <c r="G17" s="12"/>
      <c r="H17" s="12"/>
      <c r="I17" s="12"/>
      <c r="J17" s="12"/>
      <c r="K17" s="46"/>
      <c r="L17" s="12"/>
      <c r="M17" s="12"/>
      <c r="N17" s="12"/>
      <c r="O17" s="12"/>
      <c r="P17" s="12"/>
    </row>
    <row r="18" spans="1:20" ht="15" customHeight="1" x14ac:dyDescent="0.25">
      <c r="A18" s="95"/>
      <c r="B18" s="12"/>
      <c r="C18" s="180" t="s">
        <v>30</v>
      </c>
      <c r="D18" s="180"/>
      <c r="E18" s="180"/>
      <c r="F18" s="96"/>
      <c r="G18" s="96"/>
      <c r="H18" s="96"/>
      <c r="I18" s="96"/>
      <c r="J18" s="96"/>
      <c r="L18" s="97" t="s">
        <v>12</v>
      </c>
      <c r="N18" s="97"/>
      <c r="O18" s="40" t="s">
        <v>161</v>
      </c>
      <c r="Q18" s="40" t="s">
        <v>45</v>
      </c>
      <c r="T18" s="40"/>
    </row>
    <row r="19" spans="1:20" x14ac:dyDescent="0.25">
      <c r="A19" s="2"/>
      <c r="B19" s="12"/>
      <c r="C19" s="12" t="s">
        <v>162</v>
      </c>
      <c r="D19" s="12"/>
      <c r="E19" s="12"/>
      <c r="F19" s="12"/>
      <c r="G19" s="12"/>
      <c r="H19" s="12"/>
      <c r="I19" s="12"/>
      <c r="J19" s="12"/>
      <c r="L19" s="25">
        <f>+N27</f>
        <v>3313.9490000000001</v>
      </c>
      <c r="M19" s="25"/>
      <c r="N19" s="25"/>
      <c r="O19" s="70">
        <v>38777</v>
      </c>
      <c r="Q19" s="98">
        <f>+L19/O19</f>
        <v>8.5461716997189061E-2</v>
      </c>
      <c r="T19" s="22"/>
    </row>
    <row r="21" spans="1:20" x14ac:dyDescent="0.25">
      <c r="A21" s="2" t="s">
        <v>163</v>
      </c>
    </row>
    <row r="22" spans="1:20" x14ac:dyDescent="0.25">
      <c r="A22" s="2" t="s">
        <v>164</v>
      </c>
    </row>
    <row r="23" spans="1:20" x14ac:dyDescent="0.25">
      <c r="A23" s="24" t="s">
        <v>165</v>
      </c>
      <c r="J23" s="5"/>
      <c r="L23" s="46" t="s">
        <v>166</v>
      </c>
    </row>
    <row r="24" spans="1:20" x14ac:dyDescent="0.25">
      <c r="K24" s="5"/>
    </row>
    <row r="25" spans="1:20" x14ac:dyDescent="0.25">
      <c r="K25" s="181" t="s">
        <v>47</v>
      </c>
      <c r="L25" s="181"/>
      <c r="M25" s="181"/>
      <c r="N25" s="181"/>
      <c r="O25" s="31"/>
      <c r="P25" s="181" t="s">
        <v>102</v>
      </c>
      <c r="Q25" s="181"/>
      <c r="R25" s="181"/>
      <c r="S25" s="64"/>
    </row>
    <row r="26" spans="1:20" x14ac:dyDescent="0.25">
      <c r="B26" s="30" t="s">
        <v>81</v>
      </c>
      <c r="C26" s="27"/>
      <c r="D26" s="27"/>
      <c r="E26" s="27"/>
      <c r="F26" s="27"/>
      <c r="G26" s="27"/>
      <c r="H26" s="27"/>
      <c r="I26" s="27"/>
      <c r="J26" s="27"/>
      <c r="K26" s="53">
        <v>2015</v>
      </c>
      <c r="L26" s="53">
        <v>2016</v>
      </c>
      <c r="M26" s="53">
        <v>2017</v>
      </c>
      <c r="N26" s="53">
        <v>2018</v>
      </c>
      <c r="O26" s="54"/>
      <c r="P26" s="53">
        <v>2016</v>
      </c>
      <c r="Q26" s="53">
        <v>2017</v>
      </c>
      <c r="R26" s="53">
        <v>2018</v>
      </c>
    </row>
    <row r="27" spans="1:20" x14ac:dyDescent="0.25">
      <c r="C27" t="s">
        <v>12</v>
      </c>
      <c r="K27" s="25">
        <v>2563.3809999999999</v>
      </c>
      <c r="L27" s="25">
        <v>2955.2620000000002</v>
      </c>
      <c r="M27" s="25">
        <v>3174.268</v>
      </c>
      <c r="N27" s="25">
        <v>3313.9490000000001</v>
      </c>
      <c r="O27" s="31"/>
      <c r="P27" s="25">
        <f t="shared" ref="P27:R32" si="0">+L27*L$37/1000</f>
        <v>919.14558724000005</v>
      </c>
      <c r="Q27" s="25">
        <f t="shared" si="0"/>
        <v>984.46747751999999</v>
      </c>
      <c r="R27" s="25">
        <f t="shared" si="0"/>
        <v>1065.46774299</v>
      </c>
    </row>
    <row r="28" spans="1:20" x14ac:dyDescent="0.25">
      <c r="C28" t="s">
        <v>13</v>
      </c>
      <c r="K28" s="70"/>
      <c r="L28" s="25">
        <v>698.423</v>
      </c>
      <c r="M28" s="25">
        <v>803.80499999999995</v>
      </c>
      <c r="N28" s="25">
        <v>801.00400000000002</v>
      </c>
      <c r="O28" s="31"/>
      <c r="P28" s="25">
        <f t="shared" si="0"/>
        <v>217.22352146</v>
      </c>
      <c r="Q28" s="25">
        <f t="shared" si="0"/>
        <v>249.29208269999998</v>
      </c>
      <c r="R28" s="25">
        <f t="shared" si="0"/>
        <v>257.53079603999998</v>
      </c>
    </row>
    <row r="29" spans="1:20" x14ac:dyDescent="0.25">
      <c r="C29" s="27" t="s">
        <v>14</v>
      </c>
      <c r="D29" s="27"/>
      <c r="E29" s="27"/>
      <c r="F29" s="27"/>
      <c r="G29" s="27"/>
      <c r="H29" s="27"/>
      <c r="I29" s="27"/>
      <c r="J29" s="27"/>
      <c r="K29" s="28"/>
      <c r="L29" s="28">
        <v>2178.1889999999999</v>
      </c>
      <c r="M29" s="28">
        <v>2282.3919999999998</v>
      </c>
      <c r="N29" s="28">
        <v>2440.3449999999998</v>
      </c>
      <c r="O29" s="27"/>
      <c r="P29" s="28">
        <f t="shared" si="0"/>
        <v>677.46034277999991</v>
      </c>
      <c r="Q29" s="28">
        <f t="shared" si="0"/>
        <v>707.86105487999998</v>
      </c>
      <c r="R29" s="28">
        <f t="shared" si="0"/>
        <v>784.59532094999997</v>
      </c>
    </row>
    <row r="30" spans="1:20" x14ac:dyDescent="0.25">
      <c r="D30" t="s">
        <v>15</v>
      </c>
      <c r="K30" s="25"/>
      <c r="L30" s="25"/>
      <c r="M30" s="25">
        <v>1030.271</v>
      </c>
      <c r="N30" s="25">
        <v>1122.0889999999999</v>
      </c>
      <c r="O30" s="31"/>
      <c r="P30" s="25"/>
      <c r="Q30" s="25">
        <f t="shared" si="0"/>
        <v>319.52824793999997</v>
      </c>
      <c r="R30" s="25">
        <f t="shared" si="0"/>
        <v>360.76283438999997</v>
      </c>
    </row>
    <row r="31" spans="1:20" x14ac:dyDescent="0.25">
      <c r="D31" t="s">
        <v>16</v>
      </c>
      <c r="K31" s="25"/>
      <c r="L31" s="25"/>
      <c r="M31" s="25">
        <v>817.38499999999988</v>
      </c>
      <c r="N31" s="25">
        <f>N29-N30-N32</f>
        <v>836.37499999999989</v>
      </c>
      <c r="O31" s="31"/>
      <c r="P31" s="25"/>
      <c r="Q31" s="25">
        <f t="shared" si="0"/>
        <v>253.50378389999995</v>
      </c>
      <c r="R31" s="25">
        <f t="shared" si="0"/>
        <v>268.90292624999995</v>
      </c>
    </row>
    <row r="32" spans="1:20" x14ac:dyDescent="0.25">
      <c r="D32" t="s">
        <v>28</v>
      </c>
      <c r="K32" s="25"/>
      <c r="L32" s="25"/>
      <c r="M32" s="25">
        <v>434.73599999999999</v>
      </c>
      <c r="N32" s="25">
        <v>481.88099999999997</v>
      </c>
      <c r="O32" s="31"/>
      <c r="P32" s="25"/>
      <c r="Q32" s="25">
        <f t="shared" si="0"/>
        <v>134.82902304000001</v>
      </c>
      <c r="R32" s="25">
        <f t="shared" si="0"/>
        <v>154.92956031</v>
      </c>
    </row>
    <row r="33" spans="2:18" x14ac:dyDescent="0.25">
      <c r="C33" s="27" t="s">
        <v>17</v>
      </c>
      <c r="D33" s="27"/>
      <c r="E33" s="27"/>
      <c r="F33" s="27"/>
      <c r="G33" s="27"/>
      <c r="H33" s="27"/>
      <c r="I33" s="27"/>
      <c r="J33" s="27"/>
      <c r="K33" s="28"/>
      <c r="L33" s="28">
        <v>2147.335</v>
      </c>
      <c r="M33" s="28">
        <v>2341.2080000000001</v>
      </c>
      <c r="N33" s="28">
        <v>2499.0039999999999</v>
      </c>
      <c r="O33" s="27"/>
      <c r="P33" s="28">
        <f t="shared" ref="P33:R36" si="1">+L33*L$37/1000</f>
        <v>667.86413170000003</v>
      </c>
      <c r="Q33" s="28">
        <f t="shared" si="1"/>
        <v>726.10224912000001</v>
      </c>
      <c r="R33" s="28">
        <f t="shared" si="1"/>
        <v>803.45477603999996</v>
      </c>
    </row>
    <row r="34" spans="2:18" x14ac:dyDescent="0.25">
      <c r="C34" s="72"/>
      <c r="D34" s="72" t="s">
        <v>15</v>
      </c>
      <c r="E34" s="72"/>
      <c r="F34" s="72"/>
      <c r="G34" s="72"/>
      <c r="H34" s="72"/>
      <c r="I34" s="72"/>
      <c r="J34" s="72"/>
      <c r="K34" s="74"/>
      <c r="L34" s="74"/>
      <c r="M34" s="74">
        <v>1491.9830000000002</v>
      </c>
      <c r="N34" s="74">
        <v>1624.635</v>
      </c>
      <c r="O34" s="72"/>
      <c r="P34" s="74"/>
      <c r="Q34" s="74">
        <f t="shared" si="1"/>
        <v>462.72360762000005</v>
      </c>
      <c r="R34" s="74">
        <f t="shared" si="1"/>
        <v>522.33639885000002</v>
      </c>
    </row>
    <row r="35" spans="2:18" x14ac:dyDescent="0.25">
      <c r="D35" t="s">
        <v>16</v>
      </c>
      <c r="K35" s="25"/>
      <c r="L35" s="25"/>
      <c r="M35" s="25">
        <v>849.22499999999991</v>
      </c>
      <c r="N35" s="25">
        <v>874.36899999999991</v>
      </c>
      <c r="O35" s="31"/>
      <c r="P35" s="25"/>
      <c r="Q35" s="25">
        <f t="shared" si="1"/>
        <v>263.37864149999996</v>
      </c>
      <c r="R35" s="25">
        <f t="shared" si="1"/>
        <v>281.11837718999999</v>
      </c>
    </row>
    <row r="36" spans="2:18" x14ac:dyDescent="0.25">
      <c r="C36" s="27" t="s">
        <v>18</v>
      </c>
      <c r="D36" s="27"/>
      <c r="E36" s="27"/>
      <c r="F36" s="27"/>
      <c r="G36" s="27"/>
      <c r="H36" s="27"/>
      <c r="I36" s="27"/>
      <c r="J36" s="27"/>
      <c r="K36" s="28">
        <v>391.88099999999997</v>
      </c>
      <c r="L36" s="28">
        <v>391.88200000000001</v>
      </c>
      <c r="M36" s="28">
        <v>368.24900000000002</v>
      </c>
      <c r="N36" s="28">
        <v>356.495</v>
      </c>
      <c r="O36" s="27"/>
      <c r="P36" s="28">
        <f t="shared" si="1"/>
        <v>121.88313964</v>
      </c>
      <c r="Q36" s="28">
        <f t="shared" si="1"/>
        <v>114.20874486000001</v>
      </c>
      <c r="R36" s="28">
        <f t="shared" si="1"/>
        <v>114.61670745000001</v>
      </c>
    </row>
    <row r="37" spans="2:18" x14ac:dyDescent="0.25">
      <c r="C37" s="13" t="s">
        <v>147</v>
      </c>
      <c r="D37" s="13"/>
      <c r="E37" s="13"/>
      <c r="F37" s="13"/>
      <c r="G37" s="13"/>
      <c r="H37" s="13"/>
      <c r="I37" s="13"/>
      <c r="J37" s="13"/>
      <c r="K37" s="50">
        <v>313.12</v>
      </c>
      <c r="L37" s="50">
        <v>311.02</v>
      </c>
      <c r="M37" s="50">
        <v>310.14</v>
      </c>
      <c r="N37" s="50">
        <v>321.51</v>
      </c>
      <c r="O37" s="32"/>
      <c r="P37" s="32"/>
      <c r="Q37" s="13"/>
    </row>
    <row r="38" spans="2:18" x14ac:dyDescent="0.25">
      <c r="K38" s="31"/>
      <c r="L38" s="31"/>
      <c r="M38" s="31"/>
      <c r="N38" s="31"/>
      <c r="O38" s="31"/>
      <c r="P38" s="31"/>
      <c r="Q38" s="31"/>
    </row>
    <row r="39" spans="2:18" x14ac:dyDescent="0.25">
      <c r="B39" s="30" t="s">
        <v>8</v>
      </c>
      <c r="C39" s="27"/>
      <c r="D39" s="27"/>
      <c r="E39" s="27"/>
      <c r="F39" s="27"/>
      <c r="G39" s="27"/>
      <c r="H39" s="27"/>
      <c r="I39" s="27"/>
      <c r="J39" s="27"/>
      <c r="K39" s="53">
        <v>2015</v>
      </c>
      <c r="L39" s="53">
        <v>2016</v>
      </c>
      <c r="M39" s="53">
        <v>2017</v>
      </c>
      <c r="N39" s="53">
        <v>2018</v>
      </c>
      <c r="O39" s="54"/>
      <c r="P39" s="53">
        <v>2016</v>
      </c>
      <c r="Q39" s="53">
        <v>2017</v>
      </c>
      <c r="R39" s="53">
        <v>2018</v>
      </c>
    </row>
    <row r="40" spans="2:18" x14ac:dyDescent="0.25">
      <c r="C40" t="s">
        <v>19</v>
      </c>
      <c r="K40" s="85"/>
      <c r="L40" s="85">
        <v>117.501</v>
      </c>
      <c r="M40" s="85">
        <v>110.73099999999999</v>
      </c>
      <c r="N40" s="47">
        <v>121.226</v>
      </c>
      <c r="O40" s="31"/>
      <c r="P40" s="47">
        <f t="shared" ref="P40:R48" si="2">+L40*L$49/1000</f>
        <v>36.597316602213439</v>
      </c>
      <c r="Q40" s="47">
        <f t="shared" si="2"/>
        <v>34.239339854900393</v>
      </c>
      <c r="R40" s="47">
        <f t="shared" si="2"/>
        <v>38.654803014180345</v>
      </c>
    </row>
    <row r="41" spans="2:18" x14ac:dyDescent="0.25">
      <c r="D41" t="s">
        <v>20</v>
      </c>
      <c r="K41" s="85"/>
      <c r="L41" s="85">
        <v>73.090999999999994</v>
      </c>
      <c r="M41" s="85">
        <v>78.025999999999996</v>
      </c>
      <c r="N41" s="47">
        <v>82.257999999999996</v>
      </c>
      <c r="O41" s="31"/>
      <c r="P41" s="47">
        <f t="shared" si="2"/>
        <v>22.765205979288538</v>
      </c>
      <c r="Q41" s="47">
        <f t="shared" si="2"/>
        <v>24.126565564462148</v>
      </c>
      <c r="R41" s="47">
        <f t="shared" si="2"/>
        <v>26.229247738442638</v>
      </c>
    </row>
    <row r="42" spans="2:18" x14ac:dyDescent="0.25">
      <c r="C42" s="31"/>
      <c r="D42" s="31" t="s">
        <v>21</v>
      </c>
      <c r="E42" s="31"/>
      <c r="F42" s="31"/>
      <c r="G42" s="31"/>
      <c r="H42" s="31"/>
      <c r="I42" s="31"/>
      <c r="J42" s="31"/>
      <c r="K42" s="85"/>
      <c r="L42" s="85">
        <v>25.710999999999999</v>
      </c>
      <c r="M42" s="85">
        <v>23.074000000000002</v>
      </c>
      <c r="N42" s="47">
        <v>30.117999999999999</v>
      </c>
      <c r="O42" s="31"/>
      <c r="P42" s="47">
        <f t="shared" si="2"/>
        <v>8.0080476520158097</v>
      </c>
      <c r="Q42" s="47">
        <f t="shared" si="2"/>
        <v>7.1347547462948206</v>
      </c>
      <c r="R42" s="47">
        <f t="shared" si="2"/>
        <v>9.6035945851639397</v>
      </c>
    </row>
    <row r="43" spans="2:18" x14ac:dyDescent="0.25">
      <c r="C43" s="27"/>
      <c r="D43" s="27" t="s">
        <v>22</v>
      </c>
      <c r="E43" s="27"/>
      <c r="F43" s="27"/>
      <c r="G43" s="27"/>
      <c r="H43" s="27"/>
      <c r="I43" s="27"/>
      <c r="J43" s="27"/>
      <c r="K43" s="86"/>
      <c r="L43" s="86">
        <v>18.699000000000012</v>
      </c>
      <c r="M43" s="86">
        <v>9.6309999999999967</v>
      </c>
      <c r="N43" s="48">
        <v>8.850000000000005</v>
      </c>
      <c r="O43" s="27"/>
      <c r="P43" s="48">
        <f t="shared" si="2"/>
        <v>5.8240629709090941</v>
      </c>
      <c r="Q43" s="48">
        <f t="shared" si="2"/>
        <v>2.9780195441434247</v>
      </c>
      <c r="R43" s="48">
        <f t="shared" si="2"/>
        <v>2.8219606905737735</v>
      </c>
    </row>
    <row r="44" spans="2:18" x14ac:dyDescent="0.25">
      <c r="C44" t="s">
        <v>23</v>
      </c>
      <c r="K44" s="85"/>
      <c r="L44" s="85">
        <v>-56.179000000000002</v>
      </c>
      <c r="M44" s="85">
        <v>-58.222999999999999</v>
      </c>
      <c r="N44" s="47">
        <v>-60.36</v>
      </c>
      <c r="O44" s="31"/>
      <c r="P44" s="47">
        <f t="shared" si="2"/>
        <v>-17.497728950355732</v>
      </c>
      <c r="Q44" s="47">
        <f t="shared" si="2"/>
        <v>-18.003242853147405</v>
      </c>
      <c r="R44" s="47">
        <f t="shared" si="2"/>
        <v>-19.246728506557389</v>
      </c>
    </row>
    <row r="45" spans="2:18" x14ac:dyDescent="0.25">
      <c r="C45" s="27" t="s">
        <v>24</v>
      </c>
      <c r="D45" s="27"/>
      <c r="E45" s="27"/>
      <c r="F45" s="27"/>
      <c r="G45" s="27"/>
      <c r="H45" s="27"/>
      <c r="I45" s="27"/>
      <c r="J45" s="27"/>
      <c r="K45" s="86"/>
      <c r="L45" s="86">
        <v>15.534000000000001</v>
      </c>
      <c r="M45" s="86">
        <v>0.48499999999999999</v>
      </c>
      <c r="N45" s="48">
        <v>9.5329999999999995</v>
      </c>
      <c r="O45" s="27"/>
      <c r="P45" s="48">
        <f t="shared" si="2"/>
        <v>4.8382798112252967</v>
      </c>
      <c r="Q45" s="48">
        <f t="shared" si="2"/>
        <v>0.14996775816733066</v>
      </c>
      <c r="R45" s="48">
        <f t="shared" si="2"/>
        <v>3.0397459054508214</v>
      </c>
    </row>
    <row r="46" spans="2:18" x14ac:dyDescent="0.25">
      <c r="C46" t="s">
        <v>25</v>
      </c>
      <c r="K46" s="87"/>
      <c r="L46" s="87">
        <v>76.436000000000007</v>
      </c>
      <c r="M46" s="87">
        <v>53.052999999999997</v>
      </c>
      <c r="N46" s="10">
        <v>70.399000000000001</v>
      </c>
      <c r="O46" s="31"/>
      <c r="P46" s="47">
        <f t="shared" si="2"/>
        <v>23.807052636205537</v>
      </c>
      <c r="Q46" s="47">
        <f t="shared" si="2"/>
        <v>16.404617472270914</v>
      </c>
      <c r="R46" s="47">
        <f t="shared" si="2"/>
        <v>22.447820413073782</v>
      </c>
    </row>
    <row r="47" spans="2:18" x14ac:dyDescent="0.25">
      <c r="C47" t="s">
        <v>26</v>
      </c>
      <c r="K47" s="87"/>
      <c r="L47" s="87">
        <v>-12.744</v>
      </c>
      <c r="M47" s="87">
        <v>-9.6859999999999999</v>
      </c>
      <c r="N47" s="10">
        <v>-12.83</v>
      </c>
      <c r="O47" s="31"/>
      <c r="P47" s="47">
        <f t="shared" si="2"/>
        <v>-3.9692956041106719</v>
      </c>
      <c r="Q47" s="47">
        <f t="shared" si="2"/>
        <v>-2.995026197131474</v>
      </c>
      <c r="R47" s="47">
        <f t="shared" si="2"/>
        <v>-4.0910458372950842</v>
      </c>
    </row>
    <row r="48" spans="2:18" x14ac:dyDescent="0.25">
      <c r="C48" s="27" t="s">
        <v>27</v>
      </c>
      <c r="D48" s="27"/>
      <c r="E48" s="27"/>
      <c r="F48" s="27"/>
      <c r="G48" s="27"/>
      <c r="H48" s="27"/>
      <c r="I48" s="27"/>
      <c r="J48" s="27"/>
      <c r="K48" s="86"/>
      <c r="L48" s="86">
        <v>63.692</v>
      </c>
      <c r="M48" s="48">
        <v>43.366999999999997</v>
      </c>
      <c r="N48" s="48">
        <v>57.569000000000003</v>
      </c>
      <c r="O48" s="27"/>
      <c r="P48" s="48">
        <f t="shared" si="2"/>
        <v>19.83775703209486</v>
      </c>
      <c r="Q48" s="48">
        <f t="shared" si="2"/>
        <v>13.409591275139441</v>
      </c>
      <c r="R48" s="48">
        <f t="shared" si="2"/>
        <v>18.356774575778701</v>
      </c>
    </row>
    <row r="49" spans="2:18" x14ac:dyDescent="0.25">
      <c r="C49" s="13" t="s">
        <v>148</v>
      </c>
      <c r="D49" s="13"/>
      <c r="E49" s="13"/>
      <c r="F49" s="13"/>
      <c r="G49" s="13"/>
      <c r="H49" s="13"/>
      <c r="I49" s="13"/>
      <c r="J49" s="13"/>
      <c r="K49" s="50">
        <v>309.90350597609563</v>
      </c>
      <c r="L49" s="50">
        <v>311.46387351778657</v>
      </c>
      <c r="M49" s="50">
        <v>309.21187250996013</v>
      </c>
      <c r="N49" s="50">
        <v>318.86561475409854</v>
      </c>
      <c r="O49" s="37"/>
      <c r="P49" s="31"/>
      <c r="Q49" s="31"/>
    </row>
    <row r="50" spans="2:18" x14ac:dyDescent="0.25">
      <c r="K50" s="31"/>
      <c r="L50" s="31"/>
      <c r="M50" s="31"/>
      <c r="N50" s="31"/>
      <c r="O50" s="31"/>
      <c r="P50" s="31"/>
      <c r="Q50" s="31"/>
    </row>
    <row r="51" spans="2:18" x14ac:dyDescent="0.25">
      <c r="B51" s="30" t="s">
        <v>9</v>
      </c>
      <c r="C51" s="27"/>
      <c r="D51" s="27"/>
      <c r="E51" s="27"/>
      <c r="F51" s="27"/>
      <c r="G51" s="27"/>
      <c r="H51" s="27"/>
      <c r="I51" s="27"/>
      <c r="J51" s="27"/>
      <c r="K51" s="53">
        <v>2015</v>
      </c>
      <c r="L51" s="53">
        <v>2016</v>
      </c>
      <c r="M51" s="53">
        <v>2017</v>
      </c>
      <c r="N51" s="53">
        <v>2018</v>
      </c>
      <c r="O51" s="31"/>
      <c r="P51" s="31"/>
      <c r="Q51" s="31"/>
    </row>
    <row r="52" spans="2:18" x14ac:dyDescent="0.25">
      <c r="C52" t="s">
        <v>10</v>
      </c>
      <c r="K52" s="26"/>
      <c r="L52" s="26">
        <f>L48/AVERAGE(K36:L36)</f>
        <v>0.16252872360649842</v>
      </c>
      <c r="M52" s="26">
        <f>M48/AVERAGE(L36:M36)</f>
        <v>0.11410401628140411</v>
      </c>
      <c r="N52" s="26">
        <f>N48/AVERAGE(M36:N36)</f>
        <v>0.15886713101453756</v>
      </c>
      <c r="O52" s="31"/>
      <c r="P52" s="31"/>
      <c r="Q52" s="31"/>
    </row>
    <row r="53" spans="2:18" x14ac:dyDescent="0.25">
      <c r="C53" t="s">
        <v>11</v>
      </c>
      <c r="K53" s="26"/>
      <c r="L53" s="26">
        <f>L48/AVERAGE(K$27:L$27)</f>
        <v>2.308248603868741E-2</v>
      </c>
      <c r="M53" s="26">
        <f>M48/AVERAGE(L$27:M$27)</f>
        <v>1.4150187697914846E-2</v>
      </c>
      <c r="N53" s="26">
        <f>N48/AVERAGE(M$27:N$27)</f>
        <v>1.7745707333771357E-2</v>
      </c>
      <c r="O53" s="31"/>
      <c r="P53" s="31"/>
      <c r="Q53" s="31"/>
      <c r="R53" s="31"/>
    </row>
    <row r="54" spans="2:18" x14ac:dyDescent="0.25">
      <c r="C54" s="27" t="s">
        <v>49</v>
      </c>
      <c r="D54" s="27"/>
      <c r="E54" s="27"/>
      <c r="F54" s="27"/>
      <c r="G54" s="27"/>
      <c r="H54" s="27"/>
      <c r="I54" s="27"/>
      <c r="J54" s="27"/>
      <c r="K54" s="29"/>
      <c r="L54" s="29">
        <f t="shared" ref="L54:N55" si="3">L40/AVERAGE(K$27:L$27)</f>
        <v>4.2583294480182901E-2</v>
      </c>
      <c r="M54" s="29">
        <f t="shared" si="3"/>
        <v>3.6130339520322109E-2</v>
      </c>
      <c r="N54" s="29">
        <f t="shared" si="3"/>
        <v>3.7368047338737283E-2</v>
      </c>
      <c r="O54" s="31"/>
      <c r="P54" s="31"/>
      <c r="Q54" s="31"/>
      <c r="R54" s="31"/>
    </row>
    <row r="55" spans="2:18" x14ac:dyDescent="0.25">
      <c r="C55" t="s">
        <v>50</v>
      </c>
      <c r="K55" s="26"/>
      <c r="L55" s="26">
        <f t="shared" si="3"/>
        <v>2.6488758196534908E-2</v>
      </c>
      <c r="M55" s="26">
        <f t="shared" si="3"/>
        <v>2.545904824676606E-2</v>
      </c>
      <c r="N55" s="26">
        <f t="shared" si="3"/>
        <v>2.5356118637832239E-2</v>
      </c>
      <c r="O55" s="31"/>
      <c r="P55" s="31"/>
      <c r="Q55" s="31"/>
      <c r="R55" s="31"/>
    </row>
    <row r="56" spans="2:18" x14ac:dyDescent="0.25">
      <c r="C56" t="s">
        <v>51</v>
      </c>
      <c r="K56" s="26"/>
      <c r="L56" s="26">
        <f>-L44/L40</f>
        <v>0.47811507987166069</v>
      </c>
      <c r="M56" s="26">
        <f>-M44/M40</f>
        <v>0.525805781578781</v>
      </c>
      <c r="N56" s="26">
        <f>-N44/N40</f>
        <v>0.49791298896276376</v>
      </c>
      <c r="O56" s="31"/>
      <c r="P56" s="31"/>
      <c r="Q56" s="31"/>
      <c r="R56" s="31"/>
    </row>
    <row r="57" spans="2:18" x14ac:dyDescent="0.25">
      <c r="C57" s="27" t="s">
        <v>52</v>
      </c>
      <c r="D57" s="27"/>
      <c r="E57" s="27"/>
      <c r="F57" s="27"/>
      <c r="G57" s="27"/>
      <c r="H57" s="27"/>
      <c r="I57" s="27"/>
      <c r="J57" s="27"/>
      <c r="K57" s="29"/>
      <c r="L57" s="29">
        <f t="shared" ref="L57:N58" si="4">-L44/AVERAGE(K$27:L$27)</f>
        <v>2.0359715241591095E-2</v>
      </c>
      <c r="M57" s="29">
        <f t="shared" si="4"/>
        <v>1.8997541410189688E-2</v>
      </c>
      <c r="N57" s="29">
        <f t="shared" si="4"/>
        <v>1.8606036142132729E-2</v>
      </c>
      <c r="O57" s="31"/>
      <c r="P57" s="31"/>
      <c r="Q57" s="31"/>
      <c r="R57" s="31"/>
    </row>
    <row r="58" spans="2:18" x14ac:dyDescent="0.25">
      <c r="C58" t="s">
        <v>53</v>
      </c>
      <c r="K58" s="26"/>
      <c r="L58" s="26">
        <f t="shared" si="4"/>
        <v>-5.6296448239177644E-3</v>
      </c>
      <c r="M58" s="26">
        <f t="shared" si="4"/>
        <v>-1.5825030630407222E-4</v>
      </c>
      <c r="N58" s="26">
        <f t="shared" si="4"/>
        <v>-2.9385576962052901E-3</v>
      </c>
      <c r="O58" s="31"/>
      <c r="P58" s="31"/>
      <c r="Q58" s="31"/>
      <c r="R58" s="31"/>
    </row>
    <row r="59" spans="2:18" x14ac:dyDescent="0.25">
      <c r="C59" t="s">
        <v>54</v>
      </c>
      <c r="K59" s="75"/>
      <c r="L59" s="75">
        <f>L29/L33</f>
        <v>1.0143685079412388</v>
      </c>
      <c r="M59" s="75">
        <f>M29/M33</f>
        <v>0.97487792626712355</v>
      </c>
      <c r="N59" s="75">
        <f>N29/N33</f>
        <v>0.97652704837607296</v>
      </c>
      <c r="O59" s="31"/>
      <c r="P59" s="31"/>
      <c r="Q59" s="31"/>
      <c r="R59" s="31"/>
    </row>
    <row r="61" spans="2:18" x14ac:dyDescent="0.25">
      <c r="B61" s="34" t="s">
        <v>5</v>
      </c>
      <c r="C61" s="35"/>
      <c r="D61" s="35"/>
      <c r="E61" s="35"/>
      <c r="F61" s="35"/>
      <c r="G61" s="35"/>
      <c r="H61" s="35"/>
      <c r="I61" s="35"/>
      <c r="J61" s="35"/>
      <c r="K61" s="53">
        <v>2015</v>
      </c>
      <c r="L61" s="53">
        <v>2016</v>
      </c>
      <c r="M61" s="55">
        <v>2017</v>
      </c>
      <c r="N61" s="53">
        <v>2018</v>
      </c>
    </row>
    <row r="62" spans="2:18" x14ac:dyDescent="0.25">
      <c r="C62" t="s">
        <v>42</v>
      </c>
      <c r="M62" s="45">
        <v>237.3</v>
      </c>
      <c r="N62" s="45">
        <v>244.827</v>
      </c>
    </row>
    <row r="63" spans="2:18" x14ac:dyDescent="0.25">
      <c r="C63" s="31" t="s">
        <v>6</v>
      </c>
      <c r="D63" s="31"/>
      <c r="E63" s="31"/>
      <c r="F63" s="31"/>
      <c r="G63" s="31"/>
      <c r="H63" s="31"/>
      <c r="I63" s="31"/>
      <c r="J63" s="31"/>
      <c r="K63" s="31"/>
      <c r="L63" s="31"/>
      <c r="M63" s="25">
        <v>912</v>
      </c>
      <c r="N63" s="25">
        <v>912</v>
      </c>
    </row>
    <row r="64" spans="2:18" x14ac:dyDescent="0.25">
      <c r="C64" s="35" t="s">
        <v>7</v>
      </c>
      <c r="D64" s="35"/>
      <c r="E64" s="35"/>
      <c r="F64" s="35"/>
      <c r="G64" s="35"/>
      <c r="H64" s="35"/>
      <c r="I64" s="35"/>
      <c r="J64" s="35"/>
      <c r="K64" s="35"/>
      <c r="L64" s="35"/>
      <c r="M64" s="36">
        <v>55</v>
      </c>
      <c r="N64" s="36">
        <v>54</v>
      </c>
    </row>
    <row r="65" spans="1:19" hidden="1" outlineLevel="1" x14ac:dyDescent="0.25">
      <c r="C65" s="31" t="s">
        <v>43</v>
      </c>
      <c r="D65" s="31"/>
      <c r="E65" s="31"/>
      <c r="F65" s="31"/>
      <c r="G65" s="31"/>
      <c r="H65" s="31"/>
      <c r="I65" s="31"/>
      <c r="J65" s="31"/>
      <c r="K65" s="31"/>
      <c r="L65" s="31"/>
      <c r="M65" s="45"/>
      <c r="N65" s="45"/>
    </row>
    <row r="66" spans="1:19" collapsed="1" x14ac:dyDescent="0.25">
      <c r="R66" s="183">
        <f ca="1">TODAY()</f>
        <v>44963</v>
      </c>
      <c r="S66" s="183"/>
    </row>
    <row r="67" spans="1:19" x14ac:dyDescent="0.25">
      <c r="A67" s="52" t="s">
        <v>149</v>
      </c>
    </row>
    <row r="68" spans="1:19" x14ac:dyDescent="0.25">
      <c r="A68" s="52" t="s">
        <v>83</v>
      </c>
    </row>
    <row r="71" spans="1:19" x14ac:dyDescent="0.25">
      <c r="L71" s="99"/>
      <c r="M71" s="99"/>
      <c r="N71" s="99"/>
    </row>
    <row r="72" spans="1:19" x14ac:dyDescent="0.25">
      <c r="L72" s="99"/>
      <c r="M72" s="99"/>
      <c r="N72" s="99"/>
    </row>
    <row r="73" spans="1:19" x14ac:dyDescent="0.25">
      <c r="L73" s="99"/>
      <c r="M73" s="99"/>
      <c r="N73" s="99"/>
    </row>
  </sheetData>
  <mergeCells count="4">
    <mergeCell ref="C18:E18"/>
    <mergeCell ref="K25:N25"/>
    <mergeCell ref="P25:R25"/>
    <mergeCell ref="R66:S66"/>
  </mergeCells>
  <hyperlinks>
    <hyperlink ref="L23" r:id="rId1" location="tab2" xr:uid="{00000000-0004-0000-0200-000000000000}"/>
    <hyperlink ref="C16" r:id="rId2" xr:uid="{00000000-0004-0000-0200-000001000000}"/>
    <hyperlink ref="L4" r:id="rId3" xr:uid="{00000000-0004-0000-0200-000002000000}"/>
  </hyperlinks>
  <pageMargins left="0.39370078740157483" right="0.31496062992125984" top="0.39370078740157483" bottom="0.31496062992125984" header="0.31496062992125984" footer="0.31496062992125984"/>
  <pageSetup paperSize="9" scale="80"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1"/>
  <sheetViews>
    <sheetView view="pageBreakPreview" zoomScaleNormal="100" zoomScaleSheetLayoutView="100" workbookViewId="0">
      <pane ySplit="2" topLeftCell="A3" activePane="bottomLeft" state="frozen"/>
      <selection activeCell="V23" sqref="V23"/>
      <selection pane="bottomLeft" activeCell="A2" sqref="A2"/>
    </sheetView>
  </sheetViews>
  <sheetFormatPr defaultRowHeight="15" outlineLevelRow="1" outlineLevelCol="1" x14ac:dyDescent="0.25"/>
  <cols>
    <col min="1" max="10" width="4.42578125" customWidth="1"/>
    <col min="11" max="11" width="7.7109375" hidden="1" customWidth="1" outlineLevel="1"/>
    <col min="12" max="12" width="7.7109375" customWidth="1" collapsed="1"/>
    <col min="13" max="13" width="7.7109375" customWidth="1"/>
    <col min="14" max="14" width="8" customWidth="1"/>
    <col min="15" max="15" width="7.7109375" customWidth="1"/>
    <col min="16" max="16" width="6.28515625" customWidth="1"/>
    <col min="17" max="17" width="6.85546875" customWidth="1"/>
    <col min="18" max="21" width="6.28515625" customWidth="1"/>
  </cols>
  <sheetData>
    <row r="1" spans="1:21" ht="18.75" x14ac:dyDescent="0.3">
      <c r="A1" s="41" t="s">
        <v>131</v>
      </c>
    </row>
    <row r="3" spans="1:21" x14ac:dyDescent="0.25">
      <c r="A3" t="s">
        <v>0</v>
      </c>
      <c r="L3" s="57" t="s">
        <v>132</v>
      </c>
      <c r="M3" s="12"/>
      <c r="R3" s="1"/>
      <c r="S3" s="1"/>
      <c r="T3" s="1"/>
      <c r="U3" s="1"/>
    </row>
    <row r="4" spans="1:21" x14ac:dyDescent="0.25">
      <c r="A4" t="s">
        <v>88</v>
      </c>
      <c r="L4" s="46" t="s">
        <v>133</v>
      </c>
      <c r="M4" s="56"/>
      <c r="O4" s="3"/>
      <c r="R4" s="3"/>
      <c r="S4" s="3"/>
      <c r="T4" s="3"/>
      <c r="U4" s="3"/>
    </row>
    <row r="5" spans="1:21" x14ac:dyDescent="0.25">
      <c r="M5" s="12"/>
    </row>
    <row r="6" spans="1:21" x14ac:dyDescent="0.25">
      <c r="A6" t="s">
        <v>1</v>
      </c>
      <c r="L6" s="12" t="s">
        <v>134</v>
      </c>
      <c r="M6" s="12"/>
    </row>
    <row r="7" spans="1:21" x14ac:dyDescent="0.25">
      <c r="A7" t="s">
        <v>2</v>
      </c>
      <c r="L7" s="12" t="s">
        <v>135</v>
      </c>
      <c r="M7" s="12"/>
    </row>
    <row r="8" spans="1:21" x14ac:dyDescent="0.25">
      <c r="A8" t="s">
        <v>4</v>
      </c>
      <c r="L8" s="80">
        <v>0.90559999999999996</v>
      </c>
      <c r="M8" s="12"/>
      <c r="N8" s="4"/>
      <c r="O8" s="4"/>
      <c r="R8" s="4"/>
      <c r="S8" s="4"/>
      <c r="T8" s="4"/>
      <c r="U8" s="4"/>
    </row>
    <row r="9" spans="1:21" x14ac:dyDescent="0.25">
      <c r="A9" t="s">
        <v>84</v>
      </c>
      <c r="L9" s="80" t="s">
        <v>87</v>
      </c>
      <c r="M9" s="80"/>
      <c r="N9" s="4"/>
      <c r="O9" s="4"/>
      <c r="R9" s="4"/>
      <c r="S9" s="4"/>
      <c r="T9" s="4"/>
      <c r="U9" s="4"/>
    </row>
    <row r="10" spans="1:21" x14ac:dyDescent="0.25">
      <c r="A10" t="s">
        <v>185</v>
      </c>
      <c r="L10" s="57" t="s">
        <v>189</v>
      </c>
      <c r="M10" s="12"/>
    </row>
    <row r="11" spans="1:21" x14ac:dyDescent="0.25">
      <c r="R11" s="64"/>
      <c r="S11" s="64"/>
      <c r="T11" s="64"/>
      <c r="U11" s="64"/>
    </row>
    <row r="12" spans="1:21" x14ac:dyDescent="0.25">
      <c r="A12" s="43" t="s">
        <v>170</v>
      </c>
      <c r="R12" s="64"/>
      <c r="S12" s="64"/>
      <c r="T12" s="64"/>
      <c r="U12" s="64"/>
    </row>
    <row r="13" spans="1:21" x14ac:dyDescent="0.25">
      <c r="A13" t="s">
        <v>136</v>
      </c>
      <c r="I13" s="89" t="s">
        <v>150</v>
      </c>
    </row>
    <row r="14" spans="1:21" x14ac:dyDescent="0.25">
      <c r="L14" s="5"/>
    </row>
    <row r="15" spans="1:21" ht="15" customHeight="1" x14ac:dyDescent="0.25">
      <c r="A15" s="2"/>
      <c r="B15" s="79" t="s">
        <v>48</v>
      </c>
      <c r="C15" s="187" t="s">
        <v>30</v>
      </c>
      <c r="D15" s="187"/>
      <c r="E15" s="187"/>
      <c r="F15" s="79"/>
      <c r="G15" s="79"/>
      <c r="H15" s="79"/>
      <c r="I15" s="79"/>
      <c r="J15" s="79"/>
      <c r="K15" s="79"/>
      <c r="L15" s="9"/>
      <c r="N15" s="14" t="s">
        <v>12</v>
      </c>
      <c r="Q15" s="40" t="s">
        <v>45</v>
      </c>
    </row>
    <row r="16" spans="1:21" x14ac:dyDescent="0.25">
      <c r="A16" s="2"/>
      <c r="B16" s="18">
        <v>1</v>
      </c>
      <c r="C16" s="19" t="s">
        <v>137</v>
      </c>
      <c r="D16" s="19"/>
      <c r="E16" s="19"/>
      <c r="F16" s="19"/>
      <c r="G16" s="19"/>
      <c r="H16" s="19"/>
      <c r="I16" s="19"/>
      <c r="J16" s="19"/>
      <c r="K16" s="19"/>
      <c r="L16" s="19"/>
      <c r="M16" s="19"/>
      <c r="N16" s="20">
        <f>+N17+N19</f>
        <v>1217.268</v>
      </c>
      <c r="O16" s="19"/>
      <c r="P16" s="19"/>
      <c r="Q16" s="38">
        <f>+Q17+Q19</f>
        <v>0.27637506624048735</v>
      </c>
    </row>
    <row r="17" spans="1:21" x14ac:dyDescent="0.25">
      <c r="A17" s="2"/>
      <c r="B17" s="15">
        <v>1</v>
      </c>
      <c r="C17" s="16" t="s">
        <v>168</v>
      </c>
      <c r="D17" s="16"/>
      <c r="E17" s="16"/>
      <c r="F17" s="16"/>
      <c r="G17" s="16"/>
      <c r="H17" s="16"/>
      <c r="I17" s="16"/>
      <c r="J17" s="16"/>
      <c r="K17" s="16"/>
      <c r="L17" s="16"/>
      <c r="M17" s="16"/>
      <c r="N17" s="84">
        <v>694.30600000000004</v>
      </c>
      <c r="O17" s="17"/>
      <c r="P17" s="17"/>
      <c r="Q17" s="39">
        <v>0.15763896425533888</v>
      </c>
    </row>
    <row r="18" spans="1:21" x14ac:dyDescent="0.25">
      <c r="A18" s="2"/>
      <c r="B18" s="42">
        <v>2</v>
      </c>
      <c r="C18" s="12" t="s">
        <v>139</v>
      </c>
      <c r="D18" s="12"/>
      <c r="E18" s="12"/>
      <c r="F18" s="12"/>
      <c r="G18" s="12"/>
      <c r="H18" s="12"/>
      <c r="I18" s="12"/>
      <c r="J18" s="12"/>
      <c r="K18" s="12"/>
      <c r="L18" s="12"/>
      <c r="M18" s="12"/>
      <c r="N18" s="25">
        <v>529.87599999999998</v>
      </c>
      <c r="O18" s="12"/>
      <c r="P18" s="12"/>
      <c r="Q18" s="22">
        <v>0.12030589368918305</v>
      </c>
      <c r="T18" s="3"/>
      <c r="U18" s="3"/>
    </row>
    <row r="19" spans="1:21" x14ac:dyDescent="0.25">
      <c r="A19" s="2"/>
      <c r="B19" s="15">
        <v>3</v>
      </c>
      <c r="C19" s="16" t="s">
        <v>140</v>
      </c>
      <c r="D19" s="16"/>
      <c r="E19" s="16"/>
      <c r="F19" s="16"/>
      <c r="G19" s="16"/>
      <c r="H19" s="16"/>
      <c r="I19" s="16"/>
      <c r="J19" s="16"/>
      <c r="K19" s="16"/>
      <c r="L19" s="16"/>
      <c r="M19" s="16"/>
      <c r="N19" s="17">
        <v>522.96199999999999</v>
      </c>
      <c r="O19" s="16"/>
      <c r="P19" s="16"/>
      <c r="Q19" s="39">
        <v>0.1187361019851485</v>
      </c>
    </row>
    <row r="20" spans="1:21" x14ac:dyDescent="0.25">
      <c r="A20" s="2"/>
      <c r="B20" s="42">
        <v>4</v>
      </c>
      <c r="C20" s="12" t="s">
        <v>138</v>
      </c>
      <c r="D20" s="12"/>
      <c r="E20" s="12"/>
      <c r="F20" s="12"/>
      <c r="G20" s="12"/>
      <c r="H20" s="12"/>
      <c r="I20" s="12"/>
      <c r="J20" s="12"/>
      <c r="K20" s="12"/>
      <c r="L20" s="12"/>
      <c r="M20" s="12"/>
      <c r="N20" s="25">
        <v>510.00299999999999</v>
      </c>
      <c r="O20" s="12"/>
      <c r="P20" s="12"/>
      <c r="Q20" s="22">
        <v>0.11579382100560212</v>
      </c>
    </row>
    <row r="21" spans="1:21" x14ac:dyDescent="0.25">
      <c r="A21" s="2"/>
      <c r="B21" s="42">
        <v>5</v>
      </c>
      <c r="C21" s="12" t="s">
        <v>141</v>
      </c>
      <c r="D21" s="12"/>
      <c r="E21" s="12"/>
      <c r="F21" s="12"/>
      <c r="G21" s="12"/>
      <c r="H21" s="12"/>
      <c r="I21" s="12"/>
      <c r="J21" s="12"/>
      <c r="K21" s="12"/>
      <c r="L21" s="12"/>
      <c r="M21" s="12"/>
      <c r="N21" s="25">
        <v>490.709</v>
      </c>
      <c r="O21" s="12"/>
      <c r="P21" s="12"/>
      <c r="Q21" s="22">
        <v>0.11141320759257889</v>
      </c>
    </row>
    <row r="22" spans="1:21" x14ac:dyDescent="0.25">
      <c r="A22" s="2"/>
      <c r="B22" s="42">
        <v>6</v>
      </c>
      <c r="C22" s="12" t="s">
        <v>142</v>
      </c>
      <c r="D22" s="12"/>
      <c r="E22" s="12"/>
      <c r="F22" s="12"/>
      <c r="G22" s="12"/>
      <c r="H22" s="12"/>
      <c r="I22" s="12"/>
      <c r="J22" s="12"/>
      <c r="K22" s="12"/>
      <c r="L22" s="12"/>
      <c r="M22" s="12"/>
      <c r="N22" s="25">
        <v>370.61399999999998</v>
      </c>
      <c r="O22" s="12"/>
      <c r="P22" s="12"/>
      <c r="Q22" s="22">
        <v>8.4146193607038039E-2</v>
      </c>
    </row>
    <row r="23" spans="1:21" x14ac:dyDescent="0.25">
      <c r="A23" s="2"/>
      <c r="B23" s="42">
        <v>7</v>
      </c>
      <c r="C23" s="12" t="s">
        <v>143</v>
      </c>
      <c r="D23" s="12"/>
      <c r="E23" s="12"/>
      <c r="F23" s="12"/>
      <c r="G23" s="12"/>
      <c r="H23" s="12"/>
      <c r="I23" s="12"/>
      <c r="J23" s="12"/>
      <c r="K23" s="12"/>
      <c r="L23" s="12"/>
      <c r="M23" s="12"/>
      <c r="N23" s="25">
        <v>329.71199999999999</v>
      </c>
      <c r="O23" s="12"/>
      <c r="P23" s="12"/>
      <c r="Q23" s="22">
        <v>7.485958378950533E-2</v>
      </c>
    </row>
    <row r="24" spans="1:21" x14ac:dyDescent="0.25">
      <c r="A24" s="2"/>
      <c r="B24" s="42">
        <v>8</v>
      </c>
      <c r="C24" s="12" t="s">
        <v>169</v>
      </c>
      <c r="D24" s="12"/>
      <c r="E24" s="12"/>
      <c r="F24" s="12"/>
      <c r="G24" s="12"/>
      <c r="H24" s="12"/>
      <c r="I24" s="12"/>
      <c r="J24" s="12"/>
      <c r="K24" s="12"/>
      <c r="L24" s="12"/>
      <c r="N24" s="25">
        <v>233.566</v>
      </c>
      <c r="O24" s="6"/>
      <c r="P24" s="6"/>
      <c r="Q24" s="22">
        <v>5.3030079425012137E-2</v>
      </c>
    </row>
    <row r="26" spans="1:21" x14ac:dyDescent="0.25">
      <c r="A26" s="2" t="s">
        <v>144</v>
      </c>
    </row>
    <row r="27" spans="1:21" x14ac:dyDescent="0.25">
      <c r="A27" s="24" t="s">
        <v>145</v>
      </c>
      <c r="J27" s="5"/>
      <c r="M27" s="5" t="s">
        <v>146</v>
      </c>
    </row>
    <row r="28" spans="1:21" x14ac:dyDescent="0.25">
      <c r="L28" s="5"/>
    </row>
    <row r="29" spans="1:21" x14ac:dyDescent="0.25">
      <c r="K29" s="31"/>
      <c r="L29" s="181" t="s">
        <v>47</v>
      </c>
      <c r="M29" s="181"/>
      <c r="N29" s="181"/>
      <c r="O29" s="181"/>
      <c r="Q29" s="181" t="s">
        <v>102</v>
      </c>
      <c r="R29" s="181"/>
      <c r="S29" s="181"/>
      <c r="T29" s="181"/>
    </row>
    <row r="30" spans="1:21" x14ac:dyDescent="0.25">
      <c r="B30" s="30" t="s">
        <v>81</v>
      </c>
      <c r="C30" s="27"/>
      <c r="D30" s="27"/>
      <c r="E30" s="27"/>
      <c r="F30" s="27"/>
      <c r="G30" s="27"/>
      <c r="H30" s="27"/>
      <c r="I30" s="27"/>
      <c r="J30" s="27"/>
      <c r="K30" s="53">
        <v>2014</v>
      </c>
      <c r="L30" s="53">
        <v>2015</v>
      </c>
      <c r="M30" s="53">
        <v>2016</v>
      </c>
      <c r="N30" s="53">
        <v>2017</v>
      </c>
      <c r="O30" s="53">
        <v>2018</v>
      </c>
      <c r="Q30" s="53">
        <v>2015</v>
      </c>
      <c r="R30" s="53">
        <v>2016</v>
      </c>
      <c r="S30" s="53">
        <v>2017</v>
      </c>
      <c r="T30" s="102">
        <v>2018</v>
      </c>
    </row>
    <row r="31" spans="1:21" x14ac:dyDescent="0.25">
      <c r="C31" t="s">
        <v>12</v>
      </c>
      <c r="K31" s="25">
        <v>380.80099999999999</v>
      </c>
      <c r="L31" s="25">
        <v>436.09100000000001</v>
      </c>
      <c r="M31" s="25">
        <v>450.21800000000002</v>
      </c>
      <c r="N31" s="25">
        <v>483.375</v>
      </c>
      <c r="O31" s="70">
        <v>530.45899999999995</v>
      </c>
      <c r="Q31" s="25">
        <f t="shared" ref="Q31:Q39" si="0">+L31*L$40/1000</f>
        <v>136.54881392000001</v>
      </c>
      <c r="R31" s="25">
        <f t="shared" ref="R31:R39" si="1">+M31*M$40/1000</f>
        <v>140.02680236</v>
      </c>
      <c r="S31" s="25">
        <f t="shared" ref="S31:S39" si="2">+N31*N$40/1000</f>
        <v>149.91392249999998</v>
      </c>
      <c r="T31" s="25">
        <f t="shared" ref="T31:T39" si="3">+O31*O$40/1000</f>
        <v>171.62470486000001</v>
      </c>
    </row>
    <row r="32" spans="1:21" x14ac:dyDescent="0.25">
      <c r="C32" t="s">
        <v>13</v>
      </c>
      <c r="K32" s="70">
        <v>92.882999999999996</v>
      </c>
      <c r="L32" s="70">
        <v>122.274</v>
      </c>
      <c r="M32" s="70">
        <v>134.14099999999999</v>
      </c>
      <c r="N32" s="70">
        <v>129.00399999999999</v>
      </c>
      <c r="O32" s="25">
        <v>139.84</v>
      </c>
      <c r="Q32" s="25">
        <f t="shared" si="0"/>
        <v>38.286434880000002</v>
      </c>
      <c r="R32" s="25">
        <f t="shared" si="1"/>
        <v>41.72053382</v>
      </c>
      <c r="S32" s="25">
        <f t="shared" si="2"/>
        <v>40.009300559999993</v>
      </c>
      <c r="T32" s="25">
        <f t="shared" si="3"/>
        <v>45.243833600000002</v>
      </c>
    </row>
    <row r="33" spans="2:20" x14ac:dyDescent="0.25">
      <c r="C33" s="27" t="s">
        <v>14</v>
      </c>
      <c r="D33" s="27"/>
      <c r="E33" s="27"/>
      <c r="F33" s="27"/>
      <c r="G33" s="27"/>
      <c r="H33" s="27"/>
      <c r="I33" s="27"/>
      <c r="J33" s="27"/>
      <c r="K33" s="71">
        <v>274.70699999999999</v>
      </c>
      <c r="L33" s="28">
        <v>300.77100000000002</v>
      </c>
      <c r="M33" s="28">
        <v>302.96300000000002</v>
      </c>
      <c r="N33" s="28">
        <v>340.04199999999997</v>
      </c>
      <c r="O33" s="71">
        <v>378.11099999999999</v>
      </c>
      <c r="Q33" s="28">
        <f t="shared" si="0"/>
        <v>94.177415520000011</v>
      </c>
      <c r="R33" s="28">
        <f t="shared" si="1"/>
        <v>94.227552259999996</v>
      </c>
      <c r="S33" s="28">
        <f t="shared" si="2"/>
        <v>105.46062587999999</v>
      </c>
      <c r="T33" s="28">
        <f t="shared" si="3"/>
        <v>122.33403294</v>
      </c>
    </row>
    <row r="34" spans="2:20" x14ac:dyDescent="0.25">
      <c r="D34" t="s">
        <v>15</v>
      </c>
      <c r="K34" s="70">
        <v>141.74299999999999</v>
      </c>
      <c r="L34" s="25">
        <v>153.065</v>
      </c>
      <c r="M34" s="25">
        <v>177.214</v>
      </c>
      <c r="N34" s="25">
        <v>192.92400000000001</v>
      </c>
      <c r="O34" s="25">
        <v>222.416</v>
      </c>
      <c r="Q34" s="25">
        <f t="shared" si="0"/>
        <v>47.927712800000002</v>
      </c>
      <c r="R34" s="25">
        <f t="shared" si="1"/>
        <v>55.11709828</v>
      </c>
      <c r="S34" s="25">
        <f t="shared" si="2"/>
        <v>59.833449359999996</v>
      </c>
      <c r="T34" s="25">
        <f t="shared" si="3"/>
        <v>71.960472640000006</v>
      </c>
    </row>
    <row r="35" spans="2:20" x14ac:dyDescent="0.25">
      <c r="D35" t="s">
        <v>16</v>
      </c>
      <c r="K35" s="25">
        <v>132.964</v>
      </c>
      <c r="L35" s="25">
        <v>147.70599999999999</v>
      </c>
      <c r="M35" s="25">
        <v>125.749</v>
      </c>
      <c r="N35" s="25">
        <v>148.018</v>
      </c>
      <c r="O35" s="70">
        <f>O33-O34</f>
        <v>155.69499999999999</v>
      </c>
      <c r="Q35" s="25">
        <f t="shared" si="0"/>
        <v>46.249702719999995</v>
      </c>
      <c r="R35" s="25">
        <f t="shared" si="1"/>
        <v>39.110453979999996</v>
      </c>
      <c r="S35" s="25">
        <f t="shared" si="2"/>
        <v>45.906302519999997</v>
      </c>
      <c r="T35" s="25">
        <f t="shared" si="3"/>
        <v>50.373560299999994</v>
      </c>
    </row>
    <row r="36" spans="2:20" x14ac:dyDescent="0.25">
      <c r="C36" s="27" t="s">
        <v>17</v>
      </c>
      <c r="D36" s="27"/>
      <c r="E36" s="27"/>
      <c r="F36" s="27"/>
      <c r="G36" s="27"/>
      <c r="H36" s="27"/>
      <c r="I36" s="27"/>
      <c r="J36" s="27"/>
      <c r="K36" s="71">
        <v>297.61200000000002</v>
      </c>
      <c r="L36" s="28">
        <v>336.53100000000001</v>
      </c>
      <c r="M36" s="28">
        <v>347.738</v>
      </c>
      <c r="N36" s="28">
        <v>355.572</v>
      </c>
      <c r="O36" s="71">
        <v>385.93599999999998</v>
      </c>
      <c r="Q36" s="28">
        <f t="shared" si="0"/>
        <v>105.37458672000001</v>
      </c>
      <c r="R36" s="28">
        <f t="shared" si="1"/>
        <v>108.15347275999999</v>
      </c>
      <c r="S36" s="28">
        <f t="shared" si="2"/>
        <v>110.27710007999998</v>
      </c>
      <c r="T36" s="28">
        <f t="shared" si="3"/>
        <v>124.86573344</v>
      </c>
    </row>
    <row r="37" spans="2:20" x14ac:dyDescent="0.25">
      <c r="C37" s="72"/>
      <c r="D37" s="72" t="s">
        <v>15</v>
      </c>
      <c r="E37" s="72"/>
      <c r="F37" s="72"/>
      <c r="G37" s="72"/>
      <c r="H37" s="72"/>
      <c r="I37" s="72"/>
      <c r="J37" s="72"/>
      <c r="K37" s="73">
        <v>122.23099999999999</v>
      </c>
      <c r="L37" s="74">
        <v>134.65</v>
      </c>
      <c r="M37" s="74">
        <v>144.08500000000001</v>
      </c>
      <c r="N37" s="74">
        <v>149.584</v>
      </c>
      <c r="O37" s="72">
        <v>160.018</v>
      </c>
      <c r="Q37" s="74">
        <f t="shared" si="0"/>
        <v>42.161608000000001</v>
      </c>
      <c r="R37" s="74">
        <f t="shared" si="1"/>
        <v>44.813316700000001</v>
      </c>
      <c r="S37" s="74">
        <f t="shared" si="2"/>
        <v>46.39198176</v>
      </c>
      <c r="T37" s="74">
        <f t="shared" si="3"/>
        <v>51.77222372</v>
      </c>
    </row>
    <row r="38" spans="2:20" x14ac:dyDescent="0.25">
      <c r="D38" t="s">
        <v>16</v>
      </c>
      <c r="K38" s="25">
        <v>175.381</v>
      </c>
      <c r="L38" s="25">
        <v>201.881</v>
      </c>
      <c r="M38" s="25">
        <v>203.65299999999999</v>
      </c>
      <c r="N38" s="25">
        <v>205.988</v>
      </c>
      <c r="O38" s="70">
        <v>225.91799999999998</v>
      </c>
      <c r="Q38" s="25">
        <f t="shared" si="0"/>
        <v>63.212978720000002</v>
      </c>
      <c r="R38" s="25">
        <f t="shared" si="1"/>
        <v>63.340156059999991</v>
      </c>
      <c r="S38" s="25">
        <f t="shared" si="2"/>
        <v>63.885118319999997</v>
      </c>
      <c r="T38" s="25">
        <f t="shared" si="3"/>
        <v>73.09350972</v>
      </c>
    </row>
    <row r="39" spans="2:20" x14ac:dyDescent="0.25">
      <c r="C39" s="27" t="s">
        <v>18</v>
      </c>
      <c r="D39" s="27"/>
      <c r="E39" s="27"/>
      <c r="F39" s="27"/>
      <c r="G39" s="27"/>
      <c r="H39" s="27"/>
      <c r="I39" s="27"/>
      <c r="J39" s="27"/>
      <c r="K39" s="71">
        <v>45.136000000000003</v>
      </c>
      <c r="L39" s="28">
        <v>49.536000000000001</v>
      </c>
      <c r="M39" s="28">
        <v>55.813000000000002</v>
      </c>
      <c r="N39" s="28">
        <v>60.341000000000001</v>
      </c>
      <c r="O39" s="71">
        <v>65.87</v>
      </c>
      <c r="Q39" s="28">
        <f t="shared" si="0"/>
        <v>15.51071232</v>
      </c>
      <c r="R39" s="28">
        <f t="shared" si="1"/>
        <v>17.358959259999999</v>
      </c>
      <c r="S39" s="28">
        <f t="shared" si="2"/>
        <v>18.714157739999997</v>
      </c>
      <c r="T39" s="28">
        <f t="shared" si="3"/>
        <v>21.311579800000004</v>
      </c>
    </row>
    <row r="40" spans="2:20" x14ac:dyDescent="0.25">
      <c r="C40" s="13" t="s">
        <v>147</v>
      </c>
      <c r="D40" s="13"/>
      <c r="E40" s="13"/>
      <c r="F40" s="13"/>
      <c r="G40" s="13"/>
      <c r="H40" s="13"/>
      <c r="I40" s="13"/>
      <c r="J40" s="13"/>
      <c r="K40" s="37"/>
      <c r="L40" s="50">
        <v>313.12</v>
      </c>
      <c r="M40" s="50">
        <v>311.02</v>
      </c>
      <c r="N40" s="50">
        <v>310.14</v>
      </c>
      <c r="O40" s="50">
        <v>323.54000000000002</v>
      </c>
      <c r="P40" s="32"/>
      <c r="Q40" s="32"/>
      <c r="R40" s="13"/>
    </row>
    <row r="41" spans="2:20" x14ac:dyDescent="0.25">
      <c r="K41" s="31"/>
      <c r="L41" s="31"/>
      <c r="M41" s="31"/>
      <c r="N41" s="31"/>
      <c r="O41" s="31"/>
      <c r="P41" s="31"/>
      <c r="Q41" s="31"/>
      <c r="R41" s="31"/>
    </row>
    <row r="42" spans="2:20" x14ac:dyDescent="0.25">
      <c r="B42" s="30" t="s">
        <v>8</v>
      </c>
      <c r="C42" s="27"/>
      <c r="D42" s="27"/>
      <c r="E42" s="27"/>
      <c r="F42" s="27"/>
      <c r="G42" s="27"/>
      <c r="H42" s="27"/>
      <c r="I42" s="27"/>
      <c r="J42" s="27"/>
      <c r="K42" s="27"/>
      <c r="L42" s="53">
        <v>2015</v>
      </c>
      <c r="M42" s="53">
        <v>2016</v>
      </c>
      <c r="N42" s="53">
        <v>2017</v>
      </c>
      <c r="O42" s="53">
        <f>O30</f>
        <v>2018</v>
      </c>
      <c r="Q42" s="53">
        <v>2015</v>
      </c>
      <c r="R42" s="53">
        <v>2016</v>
      </c>
      <c r="S42" s="53">
        <v>2017</v>
      </c>
      <c r="T42" s="2">
        <f>T30</f>
        <v>2018</v>
      </c>
    </row>
    <row r="43" spans="2:20" x14ac:dyDescent="0.25">
      <c r="C43" t="s">
        <v>19</v>
      </c>
      <c r="K43" s="31"/>
      <c r="L43" s="85">
        <v>23.536999999999999</v>
      </c>
      <c r="M43" s="85">
        <v>24.957999999999998</v>
      </c>
      <c r="N43" s="85">
        <v>24.800999999999998</v>
      </c>
      <c r="O43" s="85">
        <v>25.228999999999999</v>
      </c>
      <c r="Q43" s="47">
        <f t="shared" ref="Q43:Q51" si="4">+L43*L$52/1000</f>
        <v>7.2941988201593624</v>
      </c>
      <c r="R43" s="47">
        <f t="shared" ref="R43:R51" si="5">+M43*M$52/1000</f>
        <v>7.7735153552569161</v>
      </c>
      <c r="S43" s="47">
        <f t="shared" ref="S43:T51" si="6">+N43*N$52/1000</f>
        <v>7.6687636501195211</v>
      </c>
      <c r="T43" s="47">
        <f t="shared" si="6"/>
        <v>8.0446605946311518</v>
      </c>
    </row>
    <row r="44" spans="2:20" x14ac:dyDescent="0.25">
      <c r="D44" t="s">
        <v>20</v>
      </c>
      <c r="K44" s="31"/>
      <c r="L44" s="85">
        <v>19.134</v>
      </c>
      <c r="M44" s="85">
        <v>20.515000000000001</v>
      </c>
      <c r="N44" s="85">
        <v>21.04</v>
      </c>
      <c r="O44" s="85">
        <v>21.068999999999999</v>
      </c>
      <c r="Q44" s="47">
        <f t="shared" si="4"/>
        <v>5.9296936833466143</v>
      </c>
      <c r="R44" s="47">
        <f t="shared" si="5"/>
        <v>6.3896813652173918</v>
      </c>
      <c r="S44" s="47">
        <f t="shared" si="6"/>
        <v>6.505817797609561</v>
      </c>
      <c r="T44" s="47">
        <f t="shared" si="6"/>
        <v>6.7181796372541021</v>
      </c>
    </row>
    <row r="45" spans="2:20" x14ac:dyDescent="0.25">
      <c r="C45" s="27"/>
      <c r="D45" s="27" t="s">
        <v>21</v>
      </c>
      <c r="E45" s="27"/>
      <c r="F45" s="27"/>
      <c r="G45" s="27"/>
      <c r="H45" s="27"/>
      <c r="I45" s="27"/>
      <c r="J45" s="27"/>
      <c r="K45" s="27"/>
      <c r="L45" s="86">
        <v>4.0919999999999996</v>
      </c>
      <c r="M45" s="86">
        <v>4.1529999999999996</v>
      </c>
      <c r="N45" s="86">
        <v>3.5110000000000001</v>
      </c>
      <c r="O45" s="86">
        <v>3.0979999999999999</v>
      </c>
      <c r="Q45" s="48">
        <f t="shared" si="4"/>
        <v>1.2681251464541832</v>
      </c>
      <c r="R45" s="48">
        <f t="shared" si="5"/>
        <v>1.2935094667193676</v>
      </c>
      <c r="S45" s="48">
        <f t="shared" si="6"/>
        <v>1.0856428843824701</v>
      </c>
      <c r="T45" s="48">
        <f t="shared" si="6"/>
        <v>0.98784567450819727</v>
      </c>
    </row>
    <row r="46" spans="2:20" x14ac:dyDescent="0.25">
      <c r="D46" t="s">
        <v>22</v>
      </c>
      <c r="K46" s="31"/>
      <c r="L46" s="85">
        <v>0.311</v>
      </c>
      <c r="M46" s="85">
        <v>0.28999999999999998</v>
      </c>
      <c r="N46" s="85">
        <v>0.22500000000000001</v>
      </c>
      <c r="O46" s="85">
        <v>1.0620000000000003</v>
      </c>
      <c r="Q46" s="47">
        <f t="shared" si="4"/>
        <v>9.6379990358565731E-2</v>
      </c>
      <c r="R46" s="47">
        <f t="shared" si="5"/>
        <v>9.0324523320158098E-2</v>
      </c>
      <c r="S46" s="47">
        <f t="shared" si="6"/>
        <v>6.9572671314741028E-2</v>
      </c>
      <c r="T46" s="47">
        <f t="shared" si="6"/>
        <v>0.33863528286885275</v>
      </c>
    </row>
    <row r="47" spans="2:20" x14ac:dyDescent="0.25">
      <c r="C47" t="s">
        <v>23</v>
      </c>
      <c r="K47" s="31"/>
      <c r="L47" s="85">
        <v>-12.212</v>
      </c>
      <c r="M47" s="85">
        <v>-12.019</v>
      </c>
      <c r="N47" s="85">
        <v>-13.161</v>
      </c>
      <c r="O47" s="85">
        <v>-13.803000000000001</v>
      </c>
      <c r="Q47" s="47">
        <f t="shared" si="4"/>
        <v>-3.7845416149800797</v>
      </c>
      <c r="R47" s="47">
        <f t="shared" si="5"/>
        <v>-3.7434842958102768</v>
      </c>
      <c r="S47" s="47">
        <f t="shared" si="6"/>
        <v>-4.0695374541035854</v>
      </c>
      <c r="T47" s="47">
        <f t="shared" si="6"/>
        <v>-4.4013020804508223</v>
      </c>
    </row>
    <row r="48" spans="2:20" x14ac:dyDescent="0.25">
      <c r="C48" s="27" t="s">
        <v>24</v>
      </c>
      <c r="D48" s="27"/>
      <c r="E48" s="27"/>
      <c r="F48" s="27"/>
      <c r="G48" s="27"/>
      <c r="H48" s="27"/>
      <c r="I48" s="27"/>
      <c r="J48" s="27"/>
      <c r="K48" s="27"/>
      <c r="L48" s="86">
        <v>-4.399</v>
      </c>
      <c r="M48" s="86">
        <v>-4.5730000000000004</v>
      </c>
      <c r="N48" s="86">
        <v>-3.3149999999999999</v>
      </c>
      <c r="O48" s="86">
        <v>0.29599999999999999</v>
      </c>
      <c r="Q48" s="48">
        <f t="shared" si="4"/>
        <v>-1.3632655227888446</v>
      </c>
      <c r="R48" s="48">
        <f t="shared" si="5"/>
        <v>-1.4243242935968381</v>
      </c>
      <c r="S48" s="48">
        <f t="shared" si="6"/>
        <v>-1.0250373573705178</v>
      </c>
      <c r="T48" s="48">
        <f t="shared" si="6"/>
        <v>9.4384221967213161E-2</v>
      </c>
    </row>
    <row r="49" spans="2:20" x14ac:dyDescent="0.25">
      <c r="C49" t="s">
        <v>25</v>
      </c>
      <c r="K49" s="31"/>
      <c r="L49" s="87">
        <v>6.9260000000000002</v>
      </c>
      <c r="M49" s="87">
        <v>8.3659999999999997</v>
      </c>
      <c r="N49" s="87">
        <v>8.3000000000000007</v>
      </c>
      <c r="O49" s="87">
        <v>11.722</v>
      </c>
      <c r="Q49" s="47">
        <f t="shared" si="4"/>
        <v>2.1463916823904383</v>
      </c>
      <c r="R49" s="47">
        <f t="shared" si="5"/>
        <v>2.6057067658498023</v>
      </c>
      <c r="S49" s="47">
        <f t="shared" si="6"/>
        <v>2.5664585418326693</v>
      </c>
      <c r="T49" s="47">
        <f t="shared" si="6"/>
        <v>3.7377427361475428</v>
      </c>
    </row>
    <row r="50" spans="2:20" x14ac:dyDescent="0.25">
      <c r="C50" t="s">
        <v>26</v>
      </c>
      <c r="K50" s="31"/>
      <c r="L50" s="87">
        <v>-0.61599999999999999</v>
      </c>
      <c r="M50" s="87">
        <v>-0.57499999999999996</v>
      </c>
      <c r="N50" s="87">
        <v>-0.90900000000000003</v>
      </c>
      <c r="O50" s="87">
        <v>-1.0640000000000001</v>
      </c>
      <c r="Q50" s="47">
        <f t="shared" si="4"/>
        <v>-0.1909005596812749</v>
      </c>
      <c r="R50" s="47">
        <f t="shared" si="5"/>
        <v>-0.17909172727272726</v>
      </c>
      <c r="S50" s="47">
        <f t="shared" si="6"/>
        <v>-0.28107359211155375</v>
      </c>
      <c r="T50" s="47">
        <f t="shared" si="6"/>
        <v>-0.33927301409836086</v>
      </c>
    </row>
    <row r="51" spans="2:20" x14ac:dyDescent="0.25">
      <c r="C51" s="27" t="s">
        <v>27</v>
      </c>
      <c r="D51" s="27"/>
      <c r="E51" s="27"/>
      <c r="F51" s="27"/>
      <c r="G51" s="27"/>
      <c r="H51" s="27"/>
      <c r="I51" s="27"/>
      <c r="J51" s="27"/>
      <c r="K51" s="27"/>
      <c r="L51" s="86">
        <v>6.31</v>
      </c>
      <c r="M51" s="86">
        <v>7.7910000000000004</v>
      </c>
      <c r="N51" s="86">
        <v>7.391</v>
      </c>
      <c r="O51" s="86">
        <v>10.657999999999999</v>
      </c>
      <c r="Q51" s="48">
        <f t="shared" si="4"/>
        <v>1.9554911227091634</v>
      </c>
      <c r="R51" s="48">
        <f t="shared" si="5"/>
        <v>2.4266150385770753</v>
      </c>
      <c r="S51" s="48">
        <f t="shared" si="6"/>
        <v>2.2853849497211156</v>
      </c>
      <c r="T51" s="48">
        <f t="shared" si="6"/>
        <v>3.3984697220491822</v>
      </c>
    </row>
    <row r="52" spans="2:20" x14ac:dyDescent="0.25">
      <c r="C52" s="13" t="s">
        <v>148</v>
      </c>
      <c r="D52" s="13"/>
      <c r="E52" s="13"/>
      <c r="F52" s="13"/>
      <c r="G52" s="13"/>
      <c r="H52" s="13"/>
      <c r="I52" s="13"/>
      <c r="J52" s="13"/>
      <c r="K52" s="37"/>
      <c r="L52" s="50">
        <v>309.90350597609563</v>
      </c>
      <c r="M52" s="50">
        <v>311.46387351778657</v>
      </c>
      <c r="N52" s="50">
        <v>309.21187250996013</v>
      </c>
      <c r="O52" s="104">
        <v>318.86561475409854</v>
      </c>
      <c r="P52" s="31"/>
      <c r="Q52" s="31"/>
      <c r="R52" s="31"/>
    </row>
    <row r="53" spans="2:20" x14ac:dyDescent="0.25">
      <c r="L53" s="31"/>
      <c r="M53" s="31"/>
      <c r="N53" s="31"/>
      <c r="O53" s="31"/>
      <c r="P53" s="31"/>
      <c r="Q53" s="31"/>
      <c r="R53" s="31"/>
    </row>
    <row r="54" spans="2:20" x14ac:dyDescent="0.25">
      <c r="B54" s="30" t="s">
        <v>9</v>
      </c>
      <c r="C54" s="27"/>
      <c r="D54" s="27"/>
      <c r="E54" s="27"/>
      <c r="F54" s="27"/>
      <c r="G54" s="27"/>
      <c r="H54" s="27"/>
      <c r="I54" s="27"/>
      <c r="J54" s="27"/>
      <c r="K54" s="27"/>
      <c r="L54" s="53">
        <v>2015</v>
      </c>
      <c r="M54" s="53">
        <v>2016</v>
      </c>
      <c r="N54" s="53">
        <v>2017</v>
      </c>
      <c r="O54" s="103">
        <f>O42</f>
        <v>2018</v>
      </c>
      <c r="P54" s="31"/>
      <c r="Q54" s="31"/>
      <c r="R54" s="31"/>
    </row>
    <row r="55" spans="2:20" x14ac:dyDescent="0.25">
      <c r="C55" t="s">
        <v>10</v>
      </c>
      <c r="L55" s="26">
        <f t="shared" ref="L55:M55" si="7">L51/AVERAGE(K39:L39)</f>
        <v>0.1333023491634274</v>
      </c>
      <c r="M55" s="26">
        <f t="shared" si="7"/>
        <v>0.14790838071552648</v>
      </c>
      <c r="N55" s="26">
        <f>N51/AVERAGE(M39:N39)</f>
        <v>0.12726208309657869</v>
      </c>
      <c r="O55" s="26">
        <f>O51/AVERAGE(N39:O39)</f>
        <v>0.16889177646956285</v>
      </c>
      <c r="P55" s="31"/>
      <c r="Q55" s="31"/>
      <c r="R55" s="31"/>
    </row>
    <row r="56" spans="2:20" x14ac:dyDescent="0.25">
      <c r="C56" t="s">
        <v>11</v>
      </c>
      <c r="L56" s="26">
        <f t="shared" ref="L56:M56" si="8">L51/AVERAGE(K$31:L$31)</f>
        <v>1.5448798617197865E-2</v>
      </c>
      <c r="M56" s="26">
        <f t="shared" si="8"/>
        <v>1.7580776004756809E-2</v>
      </c>
      <c r="N56" s="26">
        <f>N51/AVERAGE(M$31:N$31)</f>
        <v>1.5833452050304574E-2</v>
      </c>
      <c r="O56" s="26">
        <f>O51/AVERAGE(N$31:O$31)</f>
        <v>2.1025138237620755E-2</v>
      </c>
      <c r="P56" s="31"/>
      <c r="Q56" s="31"/>
      <c r="R56" s="31"/>
      <c r="S56" s="31"/>
    </row>
    <row r="57" spans="2:20" x14ac:dyDescent="0.25">
      <c r="C57" s="27" t="s">
        <v>49</v>
      </c>
      <c r="D57" s="27"/>
      <c r="E57" s="27"/>
      <c r="F57" s="27"/>
      <c r="G57" s="27"/>
      <c r="H57" s="27"/>
      <c r="I57" s="27"/>
      <c r="J57" s="27"/>
      <c r="K57" s="27"/>
      <c r="L57" s="29">
        <f t="shared" ref="L57:M58" si="9">L43/AVERAGE(K$31:L$31)</f>
        <v>5.7625732654989881E-2</v>
      </c>
      <c r="M57" s="29">
        <f t="shared" si="9"/>
        <v>5.6318958737866812E-2</v>
      </c>
      <c r="N57" s="29">
        <f>N43/AVERAGE(M$31:N$31)</f>
        <v>5.3130218414234029E-2</v>
      </c>
      <c r="O57" s="29">
        <f>O43/AVERAGE(N$31:O$31)</f>
        <v>4.9769488890686248E-2</v>
      </c>
      <c r="P57" s="31"/>
      <c r="Q57" s="31"/>
      <c r="R57" s="31"/>
      <c r="S57" s="31"/>
    </row>
    <row r="58" spans="2:20" x14ac:dyDescent="0.25">
      <c r="C58" t="s">
        <v>50</v>
      </c>
      <c r="L58" s="26">
        <f t="shared" si="9"/>
        <v>4.6845849879788272E-2</v>
      </c>
      <c r="M58" s="26">
        <f t="shared" si="9"/>
        <v>4.6293109965034773E-2</v>
      </c>
      <c r="N58" s="26">
        <f>N44/AVERAGE(M$31:N$31)</f>
        <v>4.5073174284725778E-2</v>
      </c>
      <c r="O58" s="26">
        <f>O44/AVERAGE(N$31:O$31)</f>
        <v>4.1563017219781541E-2</v>
      </c>
      <c r="P58" s="31"/>
      <c r="Q58" s="31"/>
      <c r="R58" s="31"/>
      <c r="S58" s="31"/>
    </row>
    <row r="59" spans="2:20" x14ac:dyDescent="0.25">
      <c r="C59" t="s">
        <v>51</v>
      </c>
      <c r="L59" s="26">
        <f t="shared" ref="L59:M59" si="10">-L47/L43</f>
        <v>0.5188426732378808</v>
      </c>
      <c r="M59" s="26">
        <f t="shared" si="10"/>
        <v>0.4815690359804472</v>
      </c>
      <c r="N59" s="26">
        <f>-N47/N43</f>
        <v>0.53066408612555949</v>
      </c>
      <c r="O59" s="26">
        <f>-O47/O43</f>
        <v>0.54710848626580533</v>
      </c>
      <c r="P59" s="31"/>
      <c r="Q59" s="31"/>
      <c r="R59" s="31"/>
      <c r="S59" s="31"/>
    </row>
    <row r="60" spans="2:20" x14ac:dyDescent="0.25">
      <c r="C60" s="27" t="s">
        <v>52</v>
      </c>
      <c r="D60" s="27"/>
      <c r="E60" s="27"/>
      <c r="F60" s="27"/>
      <c r="G60" s="27"/>
      <c r="H60" s="27"/>
      <c r="I60" s="27"/>
      <c r="J60" s="27"/>
      <c r="K60" s="27"/>
      <c r="L60" s="29">
        <f t="shared" ref="L60:M61" si="11">-L47/AVERAGE(K$31:L$31)</f>
        <v>2.9898689178006393E-2</v>
      </c>
      <c r="M60" s="29">
        <f t="shared" si="11"/>
        <v>2.7121466666817105E-2</v>
      </c>
      <c r="N60" s="29">
        <f>-N47/AVERAGE(M$31:N$31)</f>
        <v>2.8194298800440873E-2</v>
      </c>
      <c r="O60" s="29">
        <f>-O47/AVERAGE(N$31:O$31)</f>
        <v>2.7229309729206164E-2</v>
      </c>
      <c r="P60" s="31"/>
      <c r="Q60" s="31"/>
      <c r="R60" s="31"/>
      <c r="S60" s="31"/>
    </row>
    <row r="61" spans="2:20" x14ac:dyDescent="0.25">
      <c r="C61" t="s">
        <v>53</v>
      </c>
      <c r="L61" s="26">
        <f t="shared" si="11"/>
        <v>1.0770089558962507E-2</v>
      </c>
      <c r="M61" s="26">
        <f t="shared" si="11"/>
        <v>1.0319200188647527E-2</v>
      </c>
      <c r="N61" s="26">
        <f>-N48/AVERAGE(M$31:N$31)</f>
        <v>7.101595663206557E-3</v>
      </c>
      <c r="O61" s="26">
        <f>-O48/AVERAGE(N$31:O$31)</f>
        <v>-5.8392202273745012E-4</v>
      </c>
      <c r="P61" s="31"/>
      <c r="Q61" s="31"/>
      <c r="R61" s="31"/>
      <c r="S61" s="31"/>
    </row>
    <row r="62" spans="2:20" x14ac:dyDescent="0.25">
      <c r="C62" t="s">
        <v>54</v>
      </c>
      <c r="L62" s="75">
        <f>L33/L36</f>
        <v>0.89373935833548768</v>
      </c>
      <c r="M62" s="75">
        <f>M33/M36</f>
        <v>0.87123926634420168</v>
      </c>
      <c r="N62" s="75">
        <f>N33/N36</f>
        <v>0.95632389501985526</v>
      </c>
      <c r="O62" s="75">
        <f>O33/O36</f>
        <v>0.97972461755316942</v>
      </c>
      <c r="P62" s="31"/>
      <c r="Q62" s="31"/>
      <c r="R62" s="31"/>
      <c r="S62" s="31"/>
    </row>
    <row r="64" spans="2:20" x14ac:dyDescent="0.25">
      <c r="B64" s="34" t="s">
        <v>5</v>
      </c>
      <c r="C64" s="35"/>
      <c r="D64" s="35"/>
      <c r="E64" s="35"/>
      <c r="F64" s="35"/>
      <c r="G64" s="35"/>
      <c r="H64" s="35"/>
      <c r="I64" s="35"/>
      <c r="J64" s="35"/>
      <c r="K64" s="35"/>
      <c r="L64" s="35"/>
      <c r="M64" s="35"/>
      <c r="N64" s="55">
        <v>2017</v>
      </c>
      <c r="O64" s="2">
        <v>2018</v>
      </c>
    </row>
    <row r="65" spans="1:20" hidden="1" outlineLevel="1" x14ac:dyDescent="0.25">
      <c r="C65" t="s">
        <v>42</v>
      </c>
      <c r="N65" s="45" t="s">
        <v>71</v>
      </c>
    </row>
    <row r="66" spans="1:20" collapsed="1" x14ac:dyDescent="0.25">
      <c r="C66" s="31" t="s">
        <v>6</v>
      </c>
      <c r="D66" s="31"/>
      <c r="E66" s="31"/>
      <c r="F66" s="31"/>
      <c r="G66" s="31"/>
      <c r="H66" s="31"/>
      <c r="I66" s="31"/>
      <c r="J66" s="31"/>
      <c r="K66" s="31"/>
      <c r="L66" s="31"/>
      <c r="M66" s="31"/>
      <c r="N66" s="25">
        <v>298</v>
      </c>
      <c r="O66">
        <v>291</v>
      </c>
    </row>
    <row r="67" spans="1:20" x14ac:dyDescent="0.25">
      <c r="C67" s="35" t="s">
        <v>7</v>
      </c>
      <c r="D67" s="35"/>
      <c r="E67" s="35"/>
      <c r="F67" s="35"/>
      <c r="G67" s="35"/>
      <c r="H67" s="35"/>
      <c r="I67" s="35"/>
      <c r="J67" s="35"/>
      <c r="K67" s="35"/>
      <c r="L67" s="35"/>
      <c r="M67" s="35"/>
      <c r="N67" s="36">
        <v>20</v>
      </c>
      <c r="O67">
        <v>20</v>
      </c>
    </row>
    <row r="68" spans="1:20" hidden="1" outlineLevel="1" x14ac:dyDescent="0.25">
      <c r="C68" s="31" t="s">
        <v>43</v>
      </c>
      <c r="D68" s="31"/>
      <c r="E68" s="31"/>
      <c r="F68" s="31"/>
      <c r="G68" s="31"/>
      <c r="H68" s="31"/>
      <c r="I68" s="31"/>
      <c r="J68" s="31"/>
      <c r="K68" s="31"/>
      <c r="L68" s="31"/>
      <c r="M68" s="31"/>
      <c r="N68" s="45" t="s">
        <v>71</v>
      </c>
    </row>
    <row r="69" spans="1:20" collapsed="1" x14ac:dyDescent="0.25">
      <c r="S69" s="183">
        <v>43524</v>
      </c>
      <c r="T69" s="183"/>
    </row>
    <row r="70" spans="1:20" x14ac:dyDescent="0.25">
      <c r="A70" s="52" t="s">
        <v>149</v>
      </c>
    </row>
    <row r="71" spans="1:20" x14ac:dyDescent="0.25">
      <c r="A71" s="52" t="s">
        <v>83</v>
      </c>
    </row>
  </sheetData>
  <mergeCells count="4">
    <mergeCell ref="C15:E15"/>
    <mergeCell ref="S69:T69"/>
    <mergeCell ref="L29:O29"/>
    <mergeCell ref="Q29:T29"/>
  </mergeCells>
  <hyperlinks>
    <hyperlink ref="I13" r:id="rId1" xr:uid="{00000000-0004-0000-0300-000000000000}"/>
    <hyperlink ref="M27" r:id="rId2" xr:uid="{00000000-0004-0000-0300-000001000000}"/>
  </hyperlinks>
  <pageMargins left="0.39370078740157483" right="0.31496062992125984" top="0.39370078740157483" bottom="0.31496062992125984" header="0.31496062992125984" footer="0.31496062992125984"/>
  <pageSetup paperSize="9" scale="78"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72"/>
  <sheetViews>
    <sheetView view="pageBreakPreview" zoomScaleNormal="100" zoomScaleSheetLayoutView="100" workbookViewId="0">
      <pane ySplit="2" topLeftCell="A3" activePane="bottomLeft" state="frozen"/>
      <selection activeCell="V23" sqref="V23"/>
      <selection pane="bottomLeft" activeCell="A2" sqref="A2"/>
    </sheetView>
  </sheetViews>
  <sheetFormatPr defaultRowHeight="15" outlineLevelCol="1" x14ac:dyDescent="0.25"/>
  <cols>
    <col min="1" max="2" width="4.42578125" customWidth="1"/>
    <col min="3" max="3" width="3.42578125" customWidth="1"/>
    <col min="4" max="9" width="4.42578125" customWidth="1"/>
    <col min="10" max="10" width="5" customWidth="1"/>
    <col min="11" max="11" width="7.140625" hidden="1" customWidth="1" outlineLevel="1"/>
    <col min="12" max="12" width="7.85546875" customWidth="1" collapsed="1"/>
    <col min="13" max="24" width="7.140625" customWidth="1"/>
    <col min="25" max="25" width="7.5703125" customWidth="1"/>
  </cols>
  <sheetData>
    <row r="1" spans="1:25" ht="18.75" x14ac:dyDescent="0.3">
      <c r="A1" s="41" t="s">
        <v>109</v>
      </c>
    </row>
    <row r="3" spans="1:25" x14ac:dyDescent="0.25">
      <c r="A3" t="s">
        <v>0</v>
      </c>
      <c r="L3" s="57" t="s">
        <v>110</v>
      </c>
      <c r="S3" s="1"/>
      <c r="T3" s="1"/>
      <c r="U3" s="1"/>
      <c r="V3" s="1"/>
      <c r="W3" s="1"/>
      <c r="X3" s="1"/>
      <c r="Y3" s="1"/>
    </row>
    <row r="4" spans="1:25" x14ac:dyDescent="0.25">
      <c r="A4" t="s">
        <v>88</v>
      </c>
      <c r="L4" s="56" t="s">
        <v>111</v>
      </c>
      <c r="P4" s="3"/>
      <c r="S4" s="3"/>
      <c r="T4" s="3"/>
      <c r="U4" s="3"/>
      <c r="V4" s="3"/>
      <c r="W4" s="3"/>
      <c r="X4" s="3"/>
      <c r="Y4" s="3"/>
    </row>
    <row r="6" spans="1:25" x14ac:dyDescent="0.25">
      <c r="A6" t="s">
        <v>1</v>
      </c>
      <c r="L6" s="12" t="s">
        <v>93</v>
      </c>
    </row>
    <row r="7" spans="1:25" x14ac:dyDescent="0.25">
      <c r="A7" t="s">
        <v>2</v>
      </c>
      <c r="L7" s="12" t="s">
        <v>112</v>
      </c>
    </row>
    <row r="8" spans="1:25" x14ac:dyDescent="0.25">
      <c r="A8" t="s">
        <v>4</v>
      </c>
      <c r="L8" s="78">
        <v>0.96689999999999998</v>
      </c>
      <c r="N8" s="4"/>
      <c r="O8" s="4"/>
      <c r="P8" s="4"/>
      <c r="S8" s="4"/>
      <c r="T8" s="4"/>
      <c r="U8" s="4"/>
      <c r="V8" s="4"/>
      <c r="W8" s="4"/>
      <c r="X8" s="4"/>
      <c r="Y8" s="4"/>
    </row>
    <row r="9" spans="1:25" x14ac:dyDescent="0.25">
      <c r="A9" t="s">
        <v>84</v>
      </c>
      <c r="L9" s="78" t="s">
        <v>87</v>
      </c>
      <c r="N9" s="4"/>
      <c r="O9" s="4"/>
      <c r="P9" s="4"/>
      <c r="S9" s="4"/>
      <c r="T9" s="4"/>
      <c r="U9" s="4"/>
      <c r="V9" s="4"/>
      <c r="W9" s="4"/>
      <c r="X9" s="4"/>
      <c r="Y9" s="4"/>
    </row>
    <row r="10" spans="1:25" x14ac:dyDescent="0.25">
      <c r="A10" t="s">
        <v>185</v>
      </c>
      <c r="L10" s="57" t="s">
        <v>188</v>
      </c>
    </row>
    <row r="11" spans="1:25" x14ac:dyDescent="0.25">
      <c r="S11" s="64"/>
      <c r="T11" s="64"/>
      <c r="U11" s="64"/>
      <c r="V11" s="64"/>
      <c r="W11" s="64"/>
      <c r="X11" s="64"/>
      <c r="Y11" s="77"/>
    </row>
    <row r="12" spans="1:25" x14ac:dyDescent="0.25">
      <c r="A12" s="43" t="s">
        <v>171</v>
      </c>
      <c r="S12" s="64"/>
      <c r="T12" s="64"/>
      <c r="U12" s="64"/>
      <c r="V12" s="64"/>
      <c r="W12" s="64"/>
      <c r="X12" s="64"/>
      <c r="Y12" s="77"/>
    </row>
    <row r="13" spans="1:25" x14ac:dyDescent="0.25">
      <c r="A13" t="s">
        <v>113</v>
      </c>
      <c r="J13" s="5" t="s">
        <v>114</v>
      </c>
    </row>
    <row r="14" spans="1:25" x14ac:dyDescent="0.25">
      <c r="L14" s="5"/>
    </row>
    <row r="15" spans="1:25" ht="15" customHeight="1" x14ac:dyDescent="0.25">
      <c r="A15" s="2"/>
      <c r="B15" s="76" t="s">
        <v>48</v>
      </c>
      <c r="C15" s="187" t="s">
        <v>30</v>
      </c>
      <c r="D15" s="187"/>
      <c r="E15" s="187"/>
      <c r="F15" s="76"/>
      <c r="G15" s="76"/>
      <c r="H15" s="76"/>
      <c r="I15" s="76"/>
      <c r="J15" s="76"/>
      <c r="K15" s="76"/>
      <c r="L15" s="9"/>
      <c r="M15" s="14" t="s">
        <v>12</v>
      </c>
      <c r="Q15" s="40" t="s">
        <v>45</v>
      </c>
      <c r="U15" s="12"/>
    </row>
    <row r="16" spans="1:25" x14ac:dyDescent="0.25">
      <c r="A16" s="2"/>
      <c r="B16" s="42">
        <v>1</v>
      </c>
      <c r="C16" s="12" t="s">
        <v>115</v>
      </c>
      <c r="D16" s="12"/>
      <c r="E16" s="12"/>
      <c r="F16" s="12"/>
      <c r="G16" s="12"/>
      <c r="H16" s="12"/>
      <c r="I16" s="12"/>
      <c r="J16" s="12"/>
      <c r="K16" s="12"/>
      <c r="L16" s="12"/>
      <c r="M16" s="6">
        <v>23855.705440999998</v>
      </c>
      <c r="N16" s="6"/>
      <c r="O16" s="6"/>
      <c r="P16" s="6"/>
      <c r="Q16" s="22">
        <v>0.28786430604931551</v>
      </c>
    </row>
    <row r="17" spans="1:30" x14ac:dyDescent="0.25">
      <c r="A17" s="2"/>
      <c r="B17" s="42">
        <v>2</v>
      </c>
      <c r="C17" s="12" t="s">
        <v>116</v>
      </c>
      <c r="D17" s="12"/>
      <c r="E17" s="12"/>
      <c r="F17" s="12"/>
      <c r="G17" s="12"/>
      <c r="H17" s="12"/>
      <c r="I17" s="12"/>
      <c r="J17" s="12"/>
      <c r="K17" s="12"/>
      <c r="L17" s="12"/>
      <c r="M17" s="6">
        <v>16438.917019</v>
      </c>
      <c r="N17" s="12"/>
      <c r="O17" s="12"/>
      <c r="P17" s="12"/>
      <c r="Q17" s="22">
        <v>0.19836669477582008</v>
      </c>
      <c r="V17" s="3"/>
    </row>
    <row r="18" spans="1:30" x14ac:dyDescent="0.25">
      <c r="A18" s="2"/>
      <c r="B18" s="42">
        <v>3</v>
      </c>
      <c r="C18" s="12" t="s">
        <v>117</v>
      </c>
      <c r="D18" s="12"/>
      <c r="E18" s="12"/>
      <c r="F18" s="12"/>
      <c r="G18" s="12"/>
      <c r="H18" s="12"/>
      <c r="I18" s="12"/>
      <c r="J18" s="12"/>
      <c r="K18" s="12"/>
      <c r="L18" s="12"/>
      <c r="M18" s="6">
        <v>13889.777690000001</v>
      </c>
      <c r="N18" s="6"/>
      <c r="O18" s="6"/>
      <c r="P18" s="6"/>
      <c r="Q18" s="22">
        <v>0.16760649672674313</v>
      </c>
    </row>
    <row r="19" spans="1:30" x14ac:dyDescent="0.25">
      <c r="A19" s="2"/>
      <c r="B19" s="18">
        <v>4</v>
      </c>
      <c r="C19" s="19" t="s">
        <v>118</v>
      </c>
      <c r="D19" s="19"/>
      <c r="E19" s="19"/>
      <c r="F19" s="19"/>
      <c r="G19" s="19"/>
      <c r="H19" s="19"/>
      <c r="I19" s="19"/>
      <c r="J19" s="19"/>
      <c r="K19" s="19"/>
      <c r="L19" s="19"/>
      <c r="M19" s="20">
        <v>11401.300234</v>
      </c>
      <c r="N19" s="19"/>
      <c r="O19" s="19"/>
      <c r="P19" s="19"/>
      <c r="Q19" s="38">
        <v>0.13757829916358702</v>
      </c>
    </row>
    <row r="20" spans="1:30" x14ac:dyDescent="0.25">
      <c r="A20" s="2"/>
      <c r="B20" s="42">
        <v>5</v>
      </c>
      <c r="C20" s="12" t="s">
        <v>119</v>
      </c>
      <c r="D20" s="12"/>
      <c r="E20" s="12"/>
      <c r="F20" s="12"/>
      <c r="G20" s="12"/>
      <c r="H20" s="12"/>
      <c r="I20" s="12"/>
      <c r="J20" s="12"/>
      <c r="K20" s="12"/>
      <c r="L20" s="12"/>
      <c r="M20" s="6">
        <v>3819.5656650000001</v>
      </c>
      <c r="N20" s="12"/>
      <c r="O20" s="12"/>
      <c r="P20" s="12"/>
      <c r="Q20" s="22">
        <v>4.6090299961338184E-2</v>
      </c>
    </row>
    <row r="21" spans="1:30" x14ac:dyDescent="0.25">
      <c r="A21" s="2"/>
      <c r="B21" s="42">
        <v>6</v>
      </c>
      <c r="C21" s="12" t="s">
        <v>120</v>
      </c>
      <c r="D21" s="12"/>
      <c r="E21" s="12"/>
      <c r="F21" s="12"/>
      <c r="G21" s="12"/>
      <c r="H21" s="12"/>
      <c r="I21" s="12"/>
      <c r="J21" s="12"/>
      <c r="K21" s="12"/>
      <c r="L21" s="12"/>
      <c r="M21" s="6">
        <v>3497.9457889999999</v>
      </c>
      <c r="N21" s="12"/>
      <c r="O21" s="12"/>
      <c r="P21" s="12"/>
      <c r="Q21" s="22">
        <v>4.2209346507860013E-2</v>
      </c>
    </row>
    <row r="22" spans="1:30" x14ac:dyDescent="0.25">
      <c r="A22" s="2"/>
      <c r="B22" s="42">
        <v>7</v>
      </c>
      <c r="C22" s="12" t="s">
        <v>121</v>
      </c>
      <c r="D22" s="12"/>
      <c r="E22" s="12"/>
      <c r="F22" s="12"/>
      <c r="G22" s="12"/>
      <c r="H22" s="12"/>
      <c r="I22" s="12"/>
      <c r="J22" s="12"/>
      <c r="K22" s="12"/>
      <c r="L22" s="12"/>
      <c r="M22" s="6">
        <v>3136.4997699999999</v>
      </c>
      <c r="N22" s="12"/>
      <c r="O22" s="12"/>
      <c r="P22" s="12"/>
      <c r="Q22" s="22">
        <v>3.7847815146272189E-2</v>
      </c>
    </row>
    <row r="23" spans="1:30" x14ac:dyDescent="0.25">
      <c r="A23" s="2"/>
      <c r="B23" s="42">
        <v>8</v>
      </c>
      <c r="C23" s="12" t="s">
        <v>122</v>
      </c>
      <c r="D23" s="12"/>
      <c r="E23" s="12"/>
      <c r="F23" s="12"/>
      <c r="G23" s="12"/>
      <c r="H23" s="12"/>
      <c r="I23" s="12"/>
      <c r="J23" s="12"/>
      <c r="K23" s="12"/>
      <c r="L23" s="12"/>
      <c r="M23" s="6">
        <v>2487.6133890000001</v>
      </c>
      <c r="N23" s="6"/>
      <c r="O23" s="6"/>
      <c r="P23" s="6"/>
      <c r="Q23" s="22">
        <v>3.0017770956910893E-2</v>
      </c>
    </row>
    <row r="25" spans="1:30" x14ac:dyDescent="0.25">
      <c r="A25" s="2" t="s">
        <v>123</v>
      </c>
    </row>
    <row r="26" spans="1:30" x14ac:dyDescent="0.25">
      <c r="A26" s="24" t="s">
        <v>124</v>
      </c>
      <c r="J26" s="5" t="s">
        <v>125</v>
      </c>
    </row>
    <row r="27" spans="1:30" x14ac:dyDescent="0.25">
      <c r="L27" s="5"/>
    </row>
    <row r="28" spans="1:30" x14ac:dyDescent="0.25">
      <c r="K28" s="31"/>
      <c r="L28" s="181" t="s">
        <v>126</v>
      </c>
      <c r="M28" s="181"/>
      <c r="N28" s="181"/>
      <c r="O28" s="188"/>
      <c r="P28" s="31"/>
      <c r="Q28" s="181" t="s">
        <v>47</v>
      </c>
      <c r="R28" s="181"/>
      <c r="S28" s="181"/>
      <c r="T28" s="181"/>
      <c r="U28" s="31"/>
      <c r="V28" s="181" t="s">
        <v>102</v>
      </c>
      <c r="W28" s="181"/>
      <c r="X28" s="181"/>
      <c r="Y28" s="188"/>
      <c r="Z28" s="100"/>
      <c r="AA28" s="181"/>
      <c r="AB28" s="181"/>
      <c r="AC28" s="181"/>
      <c r="AD28" s="181"/>
    </row>
    <row r="29" spans="1:30" x14ac:dyDescent="0.25">
      <c r="B29" s="30" t="s">
        <v>81</v>
      </c>
      <c r="C29" s="27"/>
      <c r="D29" s="27"/>
      <c r="E29" s="27"/>
      <c r="F29" s="27"/>
      <c r="G29" s="27"/>
      <c r="H29" s="27"/>
      <c r="I29" s="27"/>
      <c r="J29" s="27"/>
      <c r="K29" s="30">
        <v>2014</v>
      </c>
      <c r="L29" s="53">
        <v>2015</v>
      </c>
      <c r="M29" s="53">
        <v>2016</v>
      </c>
      <c r="N29" s="53">
        <v>2017</v>
      </c>
      <c r="O29" s="53">
        <v>2018</v>
      </c>
      <c r="P29" s="54"/>
      <c r="Q29" s="53">
        <v>2015</v>
      </c>
      <c r="R29" s="53">
        <v>2016</v>
      </c>
      <c r="S29" s="53">
        <v>2017</v>
      </c>
      <c r="T29" s="53">
        <v>2018</v>
      </c>
      <c r="U29" s="54"/>
      <c r="V29" s="53">
        <v>2015</v>
      </c>
      <c r="W29" s="53">
        <v>2016</v>
      </c>
      <c r="X29" s="53">
        <v>2017</v>
      </c>
      <c r="Y29" s="53">
        <v>2018</v>
      </c>
      <c r="Z29" s="53"/>
      <c r="AA29" s="53"/>
      <c r="AB29" s="53"/>
      <c r="AC29" s="53"/>
      <c r="AD29" s="53"/>
    </row>
    <row r="30" spans="1:30" x14ac:dyDescent="0.25">
      <c r="C30" t="s">
        <v>12</v>
      </c>
      <c r="K30" s="7">
        <v>5777.241</v>
      </c>
      <c r="L30" s="7">
        <v>7356.7420000000002</v>
      </c>
      <c r="M30" s="7">
        <v>9014.5079999999998</v>
      </c>
      <c r="N30" s="7">
        <v>10114.634</v>
      </c>
      <c r="O30" s="7">
        <v>10985.079</v>
      </c>
      <c r="P30" s="31"/>
      <c r="Q30" s="25">
        <f t="shared" ref="Q30:T38" si="0">L30/L$39</f>
        <v>346.80253185436891</v>
      </c>
      <c r="R30" s="25">
        <f t="shared" si="0"/>
        <v>427.76617097728769</v>
      </c>
      <c r="S30" s="25">
        <f t="shared" si="0"/>
        <v>493.6150442119108</v>
      </c>
      <c r="T30" s="25">
        <f>O30/O$39</f>
        <v>561.33753690000003</v>
      </c>
      <c r="U30" s="31"/>
      <c r="V30" s="25">
        <f t="shared" ref="V30:Y38" si="1">+L30*L$40/1000</f>
        <v>108.59080877423999</v>
      </c>
      <c r="W30" s="25">
        <f t="shared" si="1"/>
        <v>133.04383449735599</v>
      </c>
      <c r="X30" s="25">
        <f t="shared" si="1"/>
        <v>153.08976981188201</v>
      </c>
      <c r="Y30" s="25">
        <f>+O30*O$40/1000</f>
        <v>180.47563148871899</v>
      </c>
      <c r="Z30" s="25"/>
      <c r="AA30" s="25"/>
      <c r="AB30" s="25"/>
      <c r="AC30" s="25"/>
      <c r="AD30" s="7"/>
    </row>
    <row r="31" spans="1:30" x14ac:dyDescent="0.25">
      <c r="C31" t="s">
        <v>13</v>
      </c>
      <c r="K31" s="7">
        <v>2268.9380000000001</v>
      </c>
      <c r="L31" s="7">
        <v>3432.1669999999999</v>
      </c>
      <c r="M31" s="7">
        <v>4935.8130000000001</v>
      </c>
      <c r="N31" s="7">
        <v>5257.6930000000002</v>
      </c>
      <c r="O31" s="7">
        <f>2849.558+1675.171+1051.553+2.199</f>
        <v>5578.4809999999998</v>
      </c>
      <c r="P31" s="31"/>
      <c r="Q31" s="25">
        <f t="shared" si="0"/>
        <v>161.79501814077668</v>
      </c>
      <c r="R31" s="25">
        <f t="shared" si="0"/>
        <v>234.21953008083406</v>
      </c>
      <c r="S31" s="25">
        <f t="shared" si="0"/>
        <v>256.58628504478304</v>
      </c>
      <c r="T31" s="25">
        <f t="shared" si="0"/>
        <v>285.06037910000003</v>
      </c>
      <c r="U31" s="31"/>
      <c r="V31" s="25">
        <f t="shared" si="1"/>
        <v>50.661256080239994</v>
      </c>
      <c r="W31" s="25">
        <f t="shared" si="1"/>
        <v>72.846958245740993</v>
      </c>
      <c r="X31" s="25">
        <f t="shared" si="1"/>
        <v>79.577670443789017</v>
      </c>
      <c r="Y31" s="25">
        <f t="shared" si="1"/>
        <v>91.649762484440998</v>
      </c>
      <c r="Z31" s="25"/>
      <c r="AA31" s="25"/>
    </row>
    <row r="32" spans="1:30" x14ac:dyDescent="0.25">
      <c r="C32" s="27" t="s">
        <v>14</v>
      </c>
      <c r="D32" s="27"/>
      <c r="E32" s="27"/>
      <c r="F32" s="27"/>
      <c r="G32" s="27"/>
      <c r="H32" s="27"/>
      <c r="I32" s="27"/>
      <c r="J32" s="27"/>
      <c r="K32" s="71">
        <v>3309.4050000000002</v>
      </c>
      <c r="L32" s="28">
        <v>3717.5749999999998</v>
      </c>
      <c r="M32" s="28">
        <v>3877.0079999999998</v>
      </c>
      <c r="N32" s="28">
        <v>4641.0029999999997</v>
      </c>
      <c r="O32" s="28">
        <v>5190.0370000000003</v>
      </c>
      <c r="P32" s="27"/>
      <c r="Q32" s="28">
        <f t="shared" si="0"/>
        <v>175.24937293689317</v>
      </c>
      <c r="R32" s="28">
        <f t="shared" si="0"/>
        <v>183.975971512623</v>
      </c>
      <c r="S32" s="28">
        <f t="shared" si="0"/>
        <v>226.49053846462564</v>
      </c>
      <c r="T32" s="28">
        <f t="shared" si="0"/>
        <v>265.21089070000005</v>
      </c>
      <c r="U32" s="27"/>
      <c r="V32" s="28">
        <f t="shared" si="1"/>
        <v>54.874083653999996</v>
      </c>
      <c r="W32" s="28">
        <f t="shared" si="1"/>
        <v>57.220206659855997</v>
      </c>
      <c r="X32" s="28">
        <f t="shared" si="1"/>
        <v>70.243775599418996</v>
      </c>
      <c r="Y32" s="28">
        <f t="shared" si="1"/>
        <v>85.267953468957018</v>
      </c>
      <c r="Z32" s="25"/>
      <c r="AA32" s="25"/>
      <c r="AB32" s="25"/>
      <c r="AC32" s="25"/>
      <c r="AD32" s="7"/>
    </row>
    <row r="33" spans="2:30" x14ac:dyDescent="0.25">
      <c r="D33" t="s">
        <v>15</v>
      </c>
      <c r="K33" s="7">
        <v>801.87900000000002</v>
      </c>
      <c r="L33" s="7">
        <v>1003.409</v>
      </c>
      <c r="M33" s="7">
        <v>1158.672</v>
      </c>
      <c r="N33" s="7">
        <v>1436.835</v>
      </c>
      <c r="O33" s="7">
        <v>1821.665</v>
      </c>
      <c r="P33" s="31"/>
      <c r="Q33" s="25">
        <f t="shared" si="0"/>
        <v>47.301479606796114</v>
      </c>
      <c r="R33" s="25">
        <f t="shared" si="0"/>
        <v>54.982555327323006</v>
      </c>
      <c r="S33" s="25">
        <f t="shared" si="0"/>
        <v>70.120517662845813</v>
      </c>
      <c r="T33" s="25">
        <f t="shared" si="0"/>
        <v>93.087081500000011</v>
      </c>
      <c r="U33" s="31"/>
      <c r="V33" s="25">
        <f t="shared" si="1"/>
        <v>14.811039294479999</v>
      </c>
      <c r="W33" s="25">
        <f t="shared" si="1"/>
        <v>17.100674357904001</v>
      </c>
      <c r="X33" s="25">
        <f t="shared" si="1"/>
        <v>21.747177347955002</v>
      </c>
      <c r="Y33" s="25">
        <f t="shared" si="1"/>
        <v>29.928427573065001</v>
      </c>
      <c r="Z33" s="25"/>
      <c r="AA33" s="25"/>
      <c r="AB33" s="81"/>
      <c r="AD33" s="7"/>
    </row>
    <row r="34" spans="2:30" x14ac:dyDescent="0.25">
      <c r="D34" t="s">
        <v>16</v>
      </c>
      <c r="K34" s="7">
        <v>2517.5259999999998</v>
      </c>
      <c r="L34" s="7">
        <v>2714.1660000000002</v>
      </c>
      <c r="M34" s="7">
        <v>2718.3359999999998</v>
      </c>
      <c r="N34" s="7">
        <v>3204.1680000000001</v>
      </c>
      <c r="O34" s="7">
        <v>3368.3719999999998</v>
      </c>
      <c r="P34" s="31"/>
      <c r="Q34" s="25">
        <f t="shared" si="0"/>
        <v>127.94789333009709</v>
      </c>
      <c r="R34" s="25">
        <f t="shared" si="0"/>
        <v>128.99341618529999</v>
      </c>
      <c r="S34" s="25">
        <f t="shared" si="0"/>
        <v>156.37002080177987</v>
      </c>
      <c r="T34" s="25">
        <f t="shared" si="0"/>
        <v>172.12380920000001</v>
      </c>
      <c r="U34" s="31"/>
      <c r="V34" s="25">
        <f t="shared" si="1"/>
        <v>40.063044359519999</v>
      </c>
      <c r="W34" s="25">
        <f t="shared" si="1"/>
        <v>40.119532301951999</v>
      </c>
      <c r="X34" s="25">
        <f t="shared" si="1"/>
        <v>48.496598251464007</v>
      </c>
      <c r="Y34" s="25">
        <f>+O34*O$40/1000</f>
        <v>55.339525895892002</v>
      </c>
      <c r="Z34" s="25"/>
      <c r="AA34" s="25"/>
      <c r="AB34" s="81"/>
      <c r="AD34" s="7"/>
    </row>
    <row r="35" spans="2:30" x14ac:dyDescent="0.25">
      <c r="C35" s="27" t="s">
        <v>17</v>
      </c>
      <c r="D35" s="27"/>
      <c r="E35" s="27"/>
      <c r="F35" s="27"/>
      <c r="G35" s="27"/>
      <c r="H35" s="27"/>
      <c r="I35" s="27"/>
      <c r="J35" s="27"/>
      <c r="K35" s="71">
        <v>4043.8130000000001</v>
      </c>
      <c r="L35" s="28">
        <v>5541.6809999999996</v>
      </c>
      <c r="M35" s="28">
        <v>7047.4219999999996</v>
      </c>
      <c r="N35" s="28">
        <v>7487.6459999999997</v>
      </c>
      <c r="O35" s="28">
        <v>8276.9509999999991</v>
      </c>
      <c r="P35" s="27"/>
      <c r="Q35" s="28">
        <f t="shared" si="0"/>
        <v>261.2391465582524</v>
      </c>
      <c r="R35" s="28">
        <f t="shared" si="0"/>
        <v>334.42188128304934</v>
      </c>
      <c r="S35" s="28">
        <f t="shared" si="0"/>
        <v>365.41260033068295</v>
      </c>
      <c r="T35" s="28">
        <f t="shared" si="0"/>
        <v>422.95219609999998</v>
      </c>
      <c r="U35" s="27"/>
      <c r="V35" s="28">
        <f t="shared" si="1"/>
        <v>81.79920157031998</v>
      </c>
      <c r="W35" s="28">
        <f t="shared" si="1"/>
        <v>104.011893516654</v>
      </c>
      <c r="X35" s="28">
        <f t="shared" si="1"/>
        <v>113.329063866558</v>
      </c>
      <c r="Y35" s="28">
        <f t="shared" si="1"/>
        <v>135.98336056811098</v>
      </c>
      <c r="Z35" s="25"/>
      <c r="AA35" s="25"/>
      <c r="AB35" s="25"/>
      <c r="AC35" s="25"/>
      <c r="AD35" s="7"/>
    </row>
    <row r="36" spans="2:30" x14ac:dyDescent="0.25">
      <c r="C36" s="72"/>
      <c r="D36" s="72" t="s">
        <v>15</v>
      </c>
      <c r="E36" s="72"/>
      <c r="F36" s="72"/>
      <c r="G36" s="72"/>
      <c r="H36" s="72"/>
      <c r="I36" s="72"/>
      <c r="J36" s="72"/>
      <c r="K36" s="73">
        <v>1966.125</v>
      </c>
      <c r="L36" s="74">
        <v>3024.0030000000002</v>
      </c>
      <c r="M36" s="74">
        <v>3943.873</v>
      </c>
      <c r="N36" s="74">
        <v>4186.0150000000003</v>
      </c>
      <c r="O36" s="74">
        <v>4635.8900000000003</v>
      </c>
      <c r="P36" s="72"/>
      <c r="Q36" s="74">
        <f t="shared" si="0"/>
        <v>142.55385016019417</v>
      </c>
      <c r="R36" s="74">
        <f t="shared" si="0"/>
        <v>187.14892171937819</v>
      </c>
      <c r="S36" s="74">
        <f t="shared" si="0"/>
        <v>204.28618369154256</v>
      </c>
      <c r="T36" s="74">
        <f>O36/O$39</f>
        <v>236.89397900000003</v>
      </c>
      <c r="U36" s="72"/>
      <c r="V36" s="74">
        <f t="shared" si="1"/>
        <v>44.636461562160001</v>
      </c>
      <c r="W36" s="74">
        <f t="shared" si="1"/>
        <v>58.207057633161007</v>
      </c>
      <c r="X36" s="74">
        <f t="shared" si="1"/>
        <v>63.357317010095009</v>
      </c>
      <c r="Y36" s="74">
        <f t="shared" si="1"/>
        <v>76.163783188290012</v>
      </c>
      <c r="Z36" s="25"/>
      <c r="AA36" s="25"/>
      <c r="AB36" s="25"/>
      <c r="AD36" s="7"/>
    </row>
    <row r="37" spans="2:30" x14ac:dyDescent="0.25">
      <c r="C37" s="31"/>
      <c r="D37" s="31" t="s">
        <v>16</v>
      </c>
      <c r="E37" s="31"/>
      <c r="F37" s="31"/>
      <c r="G37" s="31"/>
      <c r="H37" s="31"/>
      <c r="I37" s="31"/>
      <c r="J37" s="31"/>
      <c r="K37" s="70">
        <v>2077.6880000000001</v>
      </c>
      <c r="L37" s="70">
        <v>2517.6779999999999</v>
      </c>
      <c r="M37" s="70">
        <v>3103.549</v>
      </c>
      <c r="N37" s="70">
        <v>3301.6309999999999</v>
      </c>
      <c r="O37" s="70">
        <v>3641.0610000000001</v>
      </c>
      <c r="P37" s="31"/>
      <c r="Q37" s="25">
        <f t="shared" si="0"/>
        <v>118.68529639805823</v>
      </c>
      <c r="R37" s="25">
        <f t="shared" si="0"/>
        <v>147.27295956367115</v>
      </c>
      <c r="S37" s="25">
        <f t="shared" si="0"/>
        <v>161.12641663914039</v>
      </c>
      <c r="T37" s="25">
        <f t="shared" si="0"/>
        <v>186.05821710000004</v>
      </c>
      <c r="U37" s="31"/>
      <c r="V37" s="25">
        <f t="shared" si="1"/>
        <v>37.16274000816</v>
      </c>
      <c r="W37" s="25">
        <f t="shared" si="1"/>
        <v>45.804835883493006</v>
      </c>
      <c r="X37" s="25">
        <f t="shared" si="1"/>
        <v>49.971746856463007</v>
      </c>
      <c r="Y37" s="25">
        <f t="shared" si="1"/>
        <v>59.819577379821006</v>
      </c>
      <c r="Z37" s="25"/>
      <c r="AA37" s="25"/>
      <c r="AB37" s="25"/>
      <c r="AD37" s="7"/>
    </row>
    <row r="38" spans="2:30" x14ac:dyDescent="0.25">
      <c r="C38" s="27" t="s">
        <v>18</v>
      </c>
      <c r="D38" s="27"/>
      <c r="E38" s="27"/>
      <c r="F38" s="27"/>
      <c r="G38" s="27"/>
      <c r="H38" s="27"/>
      <c r="I38" s="27"/>
      <c r="J38" s="27"/>
      <c r="K38" s="71">
        <v>981.18399999999997</v>
      </c>
      <c r="L38" s="28">
        <v>1186.673</v>
      </c>
      <c r="M38" s="28">
        <v>1404.943</v>
      </c>
      <c r="N38" s="28">
        <v>1519.413</v>
      </c>
      <c r="O38" s="28">
        <v>1637.873</v>
      </c>
      <c r="P38" s="27"/>
      <c r="Q38" s="28">
        <f t="shared" si="0"/>
        <v>55.940686907766981</v>
      </c>
      <c r="R38" s="28">
        <f t="shared" si="0"/>
        <v>66.668872838245136</v>
      </c>
      <c r="S38" s="28">
        <f t="shared" si="0"/>
        <v>74.150494735761271</v>
      </c>
      <c r="T38" s="28">
        <f t="shared" si="0"/>
        <v>83.695310300000017</v>
      </c>
      <c r="U38" s="27"/>
      <c r="V38" s="28">
        <f t="shared" si="1"/>
        <v>17.516147884559999</v>
      </c>
      <c r="W38" s="28">
        <f t="shared" si="1"/>
        <v>20.735352830151001</v>
      </c>
      <c r="X38" s="28">
        <f t="shared" si="1"/>
        <v>22.997034437349001</v>
      </c>
      <c r="Y38" s="28">
        <f t="shared" si="1"/>
        <v>26.908879214553004</v>
      </c>
      <c r="Z38" s="25"/>
      <c r="AA38" s="25"/>
      <c r="AB38" s="25"/>
      <c r="AC38" s="25"/>
      <c r="AD38" s="7"/>
    </row>
    <row r="39" spans="2:30" x14ac:dyDescent="0.25">
      <c r="C39" s="13" t="s">
        <v>127</v>
      </c>
      <c r="D39" s="13"/>
      <c r="E39" s="13"/>
      <c r="F39" s="13"/>
      <c r="G39" s="13"/>
      <c r="H39" s="13"/>
      <c r="I39" s="13"/>
      <c r="J39" s="13"/>
      <c r="K39" s="13"/>
      <c r="L39" s="50">
        <v>21.213057357635673</v>
      </c>
      <c r="M39" s="50">
        <v>21.073447625381828</v>
      </c>
      <c r="N39" s="50">
        <v>20.490935433600256</v>
      </c>
      <c r="O39" s="50">
        <v>19.569471624266143</v>
      </c>
      <c r="P39" s="32"/>
      <c r="Q39" s="32"/>
      <c r="R39" s="32"/>
      <c r="S39" s="13"/>
      <c r="T39" s="13"/>
      <c r="U39" s="32"/>
      <c r="V39" s="32"/>
      <c r="W39" s="32"/>
      <c r="X39" s="13"/>
      <c r="Y39" s="32"/>
      <c r="Z39" s="32"/>
      <c r="AA39" s="32"/>
      <c r="AB39" s="25"/>
      <c r="AC39" s="25"/>
    </row>
    <row r="40" spans="2:30" x14ac:dyDescent="0.25">
      <c r="C40" s="13" t="s">
        <v>128</v>
      </c>
      <c r="D40" s="13"/>
      <c r="E40" s="13"/>
      <c r="F40" s="13"/>
      <c r="G40" s="13"/>
      <c r="H40" s="13"/>
      <c r="I40" s="13"/>
      <c r="J40" s="13"/>
      <c r="K40" s="13"/>
      <c r="L40" s="50">
        <v>14.760719999999999</v>
      </c>
      <c r="M40" s="50">
        <v>14.758857000000001</v>
      </c>
      <c r="N40" s="50">
        <v>15.135473000000001</v>
      </c>
      <c r="O40" s="50">
        <v>16.429161000000001</v>
      </c>
      <c r="P40" s="32"/>
      <c r="Q40" s="32"/>
      <c r="R40" s="32"/>
      <c r="S40" s="13"/>
      <c r="T40" s="13"/>
      <c r="U40" s="32"/>
      <c r="V40" s="32"/>
      <c r="W40" s="32"/>
      <c r="X40" s="13"/>
      <c r="Y40" s="32"/>
      <c r="Z40" s="32"/>
      <c r="AA40" s="32"/>
      <c r="AB40" s="25"/>
      <c r="AC40" s="25"/>
    </row>
    <row r="41" spans="2:30" x14ac:dyDescent="0.25">
      <c r="K41" s="31"/>
      <c r="L41" s="31"/>
      <c r="M41" s="31"/>
      <c r="N41" s="31"/>
      <c r="O41" s="31"/>
      <c r="P41" s="31"/>
      <c r="Q41" s="31"/>
      <c r="R41" s="31"/>
      <c r="S41" s="31"/>
      <c r="T41" s="31"/>
      <c r="U41" s="31"/>
      <c r="V41" s="31"/>
      <c r="W41" s="31"/>
      <c r="X41" s="31"/>
    </row>
    <row r="42" spans="2:30" x14ac:dyDescent="0.25">
      <c r="B42" s="30" t="s">
        <v>8</v>
      </c>
      <c r="C42" s="27"/>
      <c r="D42" s="27"/>
      <c r="E42" s="27"/>
      <c r="F42" s="27"/>
      <c r="G42" s="27"/>
      <c r="H42" s="27"/>
      <c r="I42" s="27"/>
      <c r="J42" s="27"/>
      <c r="K42" s="27"/>
      <c r="L42" s="53">
        <v>2015</v>
      </c>
      <c r="M42" s="53">
        <v>2016</v>
      </c>
      <c r="N42" s="53">
        <v>2017</v>
      </c>
      <c r="O42" s="53">
        <v>2018</v>
      </c>
      <c r="P42" s="54"/>
      <c r="Q42" s="53">
        <v>2015</v>
      </c>
      <c r="R42" s="53">
        <v>2016</v>
      </c>
      <c r="S42" s="53">
        <v>2017</v>
      </c>
      <c r="T42" s="53">
        <v>2018</v>
      </c>
      <c r="U42" s="54"/>
      <c r="V42" s="53">
        <v>2015</v>
      </c>
      <c r="W42" s="53">
        <v>2016</v>
      </c>
      <c r="X42" s="53">
        <v>2017</v>
      </c>
      <c r="Y42" s="53">
        <v>2018</v>
      </c>
      <c r="Z42" s="53"/>
      <c r="AA42" s="82"/>
    </row>
    <row r="43" spans="2:30" x14ac:dyDescent="0.25">
      <c r="C43" t="s">
        <v>19</v>
      </c>
      <c r="K43" s="31"/>
      <c r="L43" s="7">
        <v>606.29600000000005</v>
      </c>
      <c r="M43" s="7">
        <v>668.33900000000006</v>
      </c>
      <c r="N43" s="7">
        <v>667.47500000000002</v>
      </c>
      <c r="O43" s="7">
        <v>672.31700000000001</v>
      </c>
      <c r="P43" s="31"/>
      <c r="Q43" s="25">
        <f>L43/L$52</f>
        <v>29.139644058405619</v>
      </c>
      <c r="R43" s="25">
        <f t="shared" ref="R43:T51" si="2">M43/M$52</f>
        <v>30.336564906852637</v>
      </c>
      <c r="S43" s="25">
        <f t="shared" si="2"/>
        <v>32.092560698530832</v>
      </c>
      <c r="T43" s="25">
        <f t="shared" si="2"/>
        <v>33.938036324374167</v>
      </c>
      <c r="U43" s="31"/>
      <c r="V43" s="47">
        <f>+L43*L$53/1000</f>
        <v>9.0304778565954056</v>
      </c>
      <c r="W43" s="47">
        <f t="shared" ref="W43:Y51" si="3">+M43*M$53/1000</f>
        <v>9.4487440151120712</v>
      </c>
      <c r="X43" s="47">
        <f t="shared" si="3"/>
        <v>9.9234007872322731</v>
      </c>
      <c r="Y43" s="47">
        <f t="shared" si="3"/>
        <v>10.821672816118497</v>
      </c>
      <c r="Z43" s="81"/>
      <c r="AA43" s="81"/>
      <c r="AB43" s="81"/>
      <c r="AC43" s="81"/>
      <c r="AD43" s="81"/>
    </row>
    <row r="44" spans="2:30" x14ac:dyDescent="0.25">
      <c r="D44" t="s">
        <v>20</v>
      </c>
      <c r="K44" s="31"/>
      <c r="L44" s="7">
        <v>361.38799999999998</v>
      </c>
      <c r="M44" s="7">
        <v>453.49099999999999</v>
      </c>
      <c r="N44" s="7">
        <v>441.709</v>
      </c>
      <c r="O44" s="7">
        <v>442.50299999999999</v>
      </c>
      <c r="P44" s="31"/>
      <c r="Q44" s="25">
        <f t="shared" ref="Q44:Q51" si="4">L44/L$52</f>
        <v>17.368938087962132</v>
      </c>
      <c r="R44" s="25">
        <f t="shared" si="2"/>
        <v>20.58440275993696</v>
      </c>
      <c r="S44" s="25">
        <f t="shared" si="2"/>
        <v>21.237608739784044</v>
      </c>
      <c r="T44" s="25">
        <f t="shared" si="2"/>
        <v>22.337205347543708</v>
      </c>
      <c r="U44" s="31"/>
      <c r="V44" s="47">
        <f t="shared" ref="V44:V51" si="5">+L44*L$53/1000</f>
        <v>5.3826948085412072</v>
      </c>
      <c r="W44" s="47">
        <f t="shared" si="3"/>
        <v>6.4112978176601807</v>
      </c>
      <c r="X44" s="47">
        <f t="shared" si="3"/>
        <v>6.5669207660625188</v>
      </c>
      <c r="Y44" s="47">
        <f t="shared" si="3"/>
        <v>7.1225667150330612</v>
      </c>
      <c r="Z44" s="81"/>
      <c r="AA44" s="81"/>
    </row>
    <row r="45" spans="2:30" x14ac:dyDescent="0.25">
      <c r="C45" s="27"/>
      <c r="D45" s="27" t="s">
        <v>21</v>
      </c>
      <c r="E45" s="27"/>
      <c r="F45" s="27"/>
      <c r="G45" s="27"/>
      <c r="H45" s="27"/>
      <c r="I45" s="27"/>
      <c r="J45" s="27"/>
      <c r="K45" s="27"/>
      <c r="L45" s="28">
        <v>89.16</v>
      </c>
      <c r="M45" s="28">
        <v>93.334000000000003</v>
      </c>
      <c r="N45" s="28">
        <v>98.757000000000005</v>
      </c>
      <c r="O45" s="28">
        <v>105.739</v>
      </c>
      <c r="P45" s="27"/>
      <c r="Q45" s="28">
        <f t="shared" si="4"/>
        <v>4.2851852300649265</v>
      </c>
      <c r="R45" s="28">
        <f t="shared" si="2"/>
        <v>4.2365221078168167</v>
      </c>
      <c r="S45" s="28">
        <f t="shared" si="2"/>
        <v>4.7482902234612672</v>
      </c>
      <c r="T45" s="28">
        <f t="shared" si="2"/>
        <v>5.3376220189330335</v>
      </c>
      <c r="U45" s="27"/>
      <c r="V45" s="48">
        <f t="shared" si="5"/>
        <v>1.3279939265541028</v>
      </c>
      <c r="W45" s="48">
        <f t="shared" si="3"/>
        <v>1.3195235859443637</v>
      </c>
      <c r="X45" s="48">
        <f t="shared" si="3"/>
        <v>1.4682277112171955</v>
      </c>
      <c r="Y45" s="48">
        <f t="shared" si="3"/>
        <v>1.7019841263920943</v>
      </c>
      <c r="Z45" s="81"/>
      <c r="AA45" s="81"/>
    </row>
    <row r="46" spans="2:30" x14ac:dyDescent="0.25">
      <c r="D46" t="s">
        <v>22</v>
      </c>
      <c r="K46" s="31"/>
      <c r="L46" s="7">
        <v>155.74799999999999</v>
      </c>
      <c r="M46" s="7">
        <v>121.514</v>
      </c>
      <c r="N46" s="7">
        <v>127.009</v>
      </c>
      <c r="O46" s="7">
        <f>O43-O44-O45</f>
        <v>124.07500000000002</v>
      </c>
      <c r="P46" s="31"/>
      <c r="Q46" s="25">
        <f t="shared" si="4"/>
        <v>7.4855207403785569</v>
      </c>
      <c r="R46" s="25">
        <f t="shared" si="2"/>
        <v>5.5156400390988569</v>
      </c>
      <c r="S46" s="25">
        <f t="shared" si="2"/>
        <v>6.1066617352855195</v>
      </c>
      <c r="T46" s="25">
        <f t="shared" si="2"/>
        <v>6.2632089578974286</v>
      </c>
      <c r="U46" s="31"/>
      <c r="V46" s="47">
        <f t="shared" si="5"/>
        <v>2.3197891215000936</v>
      </c>
      <c r="W46" s="47">
        <f t="shared" si="3"/>
        <v>1.7179226115075255</v>
      </c>
      <c r="X46" s="47">
        <f t="shared" si="3"/>
        <v>1.8882523099525581</v>
      </c>
      <c r="Y46" s="47">
        <f t="shared" si="3"/>
        <v>1.9971219746933404</v>
      </c>
      <c r="Z46" s="81"/>
      <c r="AA46" s="81"/>
    </row>
    <row r="47" spans="2:30" x14ac:dyDescent="0.25">
      <c r="C47" t="s">
        <v>23</v>
      </c>
      <c r="K47" s="31"/>
      <c r="L47" s="7">
        <v>-299.916</v>
      </c>
      <c r="M47" s="7">
        <v>-294.178</v>
      </c>
      <c r="N47" s="7">
        <v>-310.36700000000002</v>
      </c>
      <c r="O47" s="7">
        <f>-(172.146+25.11+18.558+126.969)</f>
        <v>-342.78299999999996</v>
      </c>
      <c r="P47" s="31"/>
      <c r="Q47" s="25">
        <f t="shared" si="4"/>
        <v>-14.414486467700231</v>
      </c>
      <c r="R47" s="25">
        <f t="shared" si="2"/>
        <v>-13.353028913722069</v>
      </c>
      <c r="S47" s="25">
        <f t="shared" si="2"/>
        <v>-14.922614009994261</v>
      </c>
      <c r="T47" s="25">
        <f t="shared" si="2"/>
        <v>-17.303417741003052</v>
      </c>
      <c r="U47" s="31"/>
      <c r="V47" s="47">
        <f t="shared" si="5"/>
        <v>-4.4670998931852877</v>
      </c>
      <c r="W47" s="47">
        <f t="shared" si="3"/>
        <v>-4.1589861086628774</v>
      </c>
      <c r="X47" s="47">
        <f t="shared" si="3"/>
        <v>-4.6142494207736897</v>
      </c>
      <c r="Y47" s="47">
        <f t="shared" si="3"/>
        <v>-5.5174649353319136</v>
      </c>
      <c r="Z47" s="81"/>
      <c r="AA47" s="81"/>
      <c r="AB47" s="81"/>
      <c r="AC47" s="81"/>
      <c r="AD47" s="81"/>
    </row>
    <row r="48" spans="2:30" x14ac:dyDescent="0.25">
      <c r="C48" s="27" t="s">
        <v>24</v>
      </c>
      <c r="D48" s="27"/>
      <c r="E48" s="27"/>
      <c r="F48" s="27"/>
      <c r="G48" s="27"/>
      <c r="H48" s="27"/>
      <c r="I48" s="27"/>
      <c r="J48" s="27"/>
      <c r="K48" s="27"/>
      <c r="L48" s="28">
        <v>-67.126000000000005</v>
      </c>
      <c r="M48" s="28">
        <v>-19.062999999999999</v>
      </c>
      <c r="N48" s="28">
        <v>-43.908000000000001</v>
      </c>
      <c r="O48" s="28">
        <v>-16.350000000000001</v>
      </c>
      <c r="P48" s="27"/>
      <c r="Q48" s="28">
        <f t="shared" si="4"/>
        <v>-3.2261927294003847</v>
      </c>
      <c r="R48" s="28">
        <f t="shared" si="2"/>
        <v>-0.8652883294545608</v>
      </c>
      <c r="S48" s="28">
        <f t="shared" si="2"/>
        <v>-2.1111204991214527</v>
      </c>
      <c r="T48" s="28">
        <f t="shared" si="2"/>
        <v>-0.8253352122637353</v>
      </c>
      <c r="U48" s="27"/>
      <c r="V48" s="48">
        <f t="shared" si="5"/>
        <v>-0.99980843779576833</v>
      </c>
      <c r="W48" s="48">
        <f t="shared" si="3"/>
        <v>-0.26950605480165218</v>
      </c>
      <c r="X48" s="48">
        <f t="shared" si="3"/>
        <v>-0.65278352262750616</v>
      </c>
      <c r="Y48" s="48">
        <f t="shared" si="3"/>
        <v>-0.26317101983668034</v>
      </c>
      <c r="Z48" s="81"/>
      <c r="AA48" s="81"/>
      <c r="AB48" s="81"/>
      <c r="AD48" s="81"/>
    </row>
    <row r="49" spans="2:31" x14ac:dyDescent="0.25">
      <c r="C49" t="s">
        <v>25</v>
      </c>
      <c r="K49" s="31"/>
      <c r="L49" s="7">
        <v>239.25399999999999</v>
      </c>
      <c r="M49" s="7">
        <v>355.09800000000001</v>
      </c>
      <c r="N49" s="7">
        <v>313.2</v>
      </c>
      <c r="O49" s="7">
        <v>329.53399999999999</v>
      </c>
      <c r="P49" s="31"/>
      <c r="Q49" s="25">
        <f t="shared" si="4"/>
        <v>11.498964861305002</v>
      </c>
      <c r="R49" s="25">
        <f t="shared" si="2"/>
        <v>16.118247663676005</v>
      </c>
      <c r="S49" s="25">
        <f t="shared" si="2"/>
        <v>15.058826189415118</v>
      </c>
      <c r="T49" s="25">
        <f t="shared" si="2"/>
        <v>16.634618583371115</v>
      </c>
      <c r="U49" s="31"/>
      <c r="V49" s="47">
        <f t="shared" si="5"/>
        <v>3.5635695256143483</v>
      </c>
      <c r="W49" s="47">
        <f t="shared" si="3"/>
        <v>5.020251851647541</v>
      </c>
      <c r="X49" s="47">
        <f t="shared" si="3"/>
        <v>4.6563678438310765</v>
      </c>
      <c r="Y49" s="47">
        <f t="shared" si="3"/>
        <v>5.3042078807865822</v>
      </c>
      <c r="Z49" s="81"/>
      <c r="AA49" s="81"/>
    </row>
    <row r="50" spans="2:31" x14ac:dyDescent="0.25">
      <c r="C50" t="s">
        <v>26</v>
      </c>
      <c r="K50" s="31"/>
      <c r="L50" s="7">
        <v>-9.5990000000000002</v>
      </c>
      <c r="M50" s="7">
        <v>-28.707999999999998</v>
      </c>
      <c r="N50" s="7">
        <v>-35.521000000000001</v>
      </c>
      <c r="O50" s="7">
        <v>-33.869</v>
      </c>
      <c r="P50" s="31"/>
      <c r="Q50" s="25">
        <f t="shared" si="4"/>
        <v>-0.46134469519283572</v>
      </c>
      <c r="R50" s="25">
        <f t="shared" si="2"/>
        <v>-1.3030843708745492</v>
      </c>
      <c r="S50" s="25">
        <f t="shared" si="2"/>
        <v>-1.7078689817184369</v>
      </c>
      <c r="T50" s="25">
        <f t="shared" si="2"/>
        <v>-1.7096806302238805</v>
      </c>
      <c r="U50" s="31"/>
      <c r="V50" s="47">
        <f t="shared" si="5"/>
        <v>-0.14297233850373298</v>
      </c>
      <c r="W50" s="47">
        <f t="shared" si="3"/>
        <v>-0.40586370567307506</v>
      </c>
      <c r="X50" s="47">
        <f t="shared" si="3"/>
        <v>-0.52809336583883681</v>
      </c>
      <c r="Y50" s="47">
        <f t="shared" si="3"/>
        <v>-0.54515836518951233</v>
      </c>
      <c r="Z50" s="81"/>
      <c r="AA50" s="81"/>
    </row>
    <row r="51" spans="2:31" x14ac:dyDescent="0.25">
      <c r="C51" s="27" t="s">
        <v>27</v>
      </c>
      <c r="D51" s="27"/>
      <c r="E51" s="27"/>
      <c r="F51" s="27"/>
      <c r="G51" s="27"/>
      <c r="H51" s="27"/>
      <c r="I51" s="27"/>
      <c r="J51" s="27"/>
      <c r="K51" s="27"/>
      <c r="L51" s="28">
        <v>229.655</v>
      </c>
      <c r="M51" s="28">
        <v>326.39</v>
      </c>
      <c r="N51" s="28">
        <v>277.67899999999997</v>
      </c>
      <c r="O51" s="28">
        <v>295.66500000000002</v>
      </c>
      <c r="P51" s="27"/>
      <c r="Q51" s="28">
        <f t="shared" si="4"/>
        <v>11.037620166112166</v>
      </c>
      <c r="R51" s="28">
        <f t="shared" si="2"/>
        <v>14.815163292801452</v>
      </c>
      <c r="S51" s="28">
        <f t="shared" si="2"/>
        <v>13.35095720769668</v>
      </c>
      <c r="T51" s="28">
        <f t="shared" si="2"/>
        <v>14.924937953147234</v>
      </c>
      <c r="U51" s="27"/>
      <c r="V51" s="48">
        <f t="shared" si="5"/>
        <v>3.4205971871106153</v>
      </c>
      <c r="W51" s="48">
        <f t="shared" si="3"/>
        <v>4.6143881459744662</v>
      </c>
      <c r="X51" s="48">
        <f t="shared" si="3"/>
        <v>4.1282744779922398</v>
      </c>
      <c r="Y51" s="48">
        <f t="shared" si="3"/>
        <v>4.75904951559707</v>
      </c>
      <c r="Z51" s="81"/>
      <c r="AA51" s="81"/>
      <c r="AB51" s="81"/>
      <c r="AC51" s="81"/>
      <c r="AD51" s="81"/>
      <c r="AE51" s="83"/>
    </row>
    <row r="52" spans="2:31" x14ac:dyDescent="0.25">
      <c r="C52" s="13" t="s">
        <v>129</v>
      </c>
      <c r="D52" s="13"/>
      <c r="E52" s="13"/>
      <c r="F52" s="13"/>
      <c r="G52" s="13"/>
      <c r="H52" s="13"/>
      <c r="I52" s="13"/>
      <c r="J52" s="13"/>
      <c r="K52" s="37"/>
      <c r="L52" s="51">
        <v>20.806568494274657</v>
      </c>
      <c r="M52" s="51">
        <v>22.030806785544495</v>
      </c>
      <c r="N52" s="51">
        <v>20.798433826147019</v>
      </c>
      <c r="O52" s="51">
        <v>19.810132606792706</v>
      </c>
      <c r="P52" s="37"/>
      <c r="Q52" s="31"/>
      <c r="R52" s="31"/>
      <c r="S52" s="31"/>
      <c r="T52" s="31"/>
      <c r="U52" s="37"/>
      <c r="V52" s="31"/>
      <c r="W52" s="31"/>
      <c r="X52" s="31"/>
      <c r="Y52" s="32"/>
      <c r="Z52" s="32"/>
      <c r="AA52" s="32"/>
      <c r="AE52" s="83"/>
    </row>
    <row r="53" spans="2:31" x14ac:dyDescent="0.25">
      <c r="C53" s="13" t="s">
        <v>130</v>
      </c>
      <c r="D53" s="13"/>
      <c r="E53" s="13"/>
      <c r="F53" s="13"/>
      <c r="G53" s="13"/>
      <c r="H53" s="13"/>
      <c r="I53" s="13"/>
      <c r="J53" s="13"/>
      <c r="K53" s="37"/>
      <c r="L53" s="51">
        <v>14.894503438247002</v>
      </c>
      <c r="M53" s="51">
        <v>14.137651723320158</v>
      </c>
      <c r="N53" s="51">
        <v>14.867074852589644</v>
      </c>
      <c r="O53" s="51">
        <v>16.096086840163935</v>
      </c>
      <c r="P53" s="37"/>
      <c r="Q53" s="31"/>
      <c r="R53" s="31"/>
      <c r="S53" s="31"/>
      <c r="T53" s="31"/>
      <c r="U53" s="37"/>
      <c r="V53" s="31"/>
      <c r="W53" s="31"/>
      <c r="X53" s="31"/>
      <c r="Y53" s="32"/>
      <c r="Z53" s="32"/>
      <c r="AA53" s="32"/>
      <c r="AE53" s="83"/>
    </row>
    <row r="54" spans="2:31" x14ac:dyDescent="0.25">
      <c r="L54" s="31"/>
      <c r="M54" s="31"/>
      <c r="N54" s="31"/>
      <c r="O54" s="31"/>
      <c r="P54" s="31"/>
      <c r="Q54" s="31"/>
      <c r="R54" s="31"/>
      <c r="S54" s="31"/>
      <c r="T54" s="31"/>
      <c r="U54" s="31"/>
    </row>
    <row r="55" spans="2:31" x14ac:dyDescent="0.25">
      <c r="B55" s="30" t="s">
        <v>9</v>
      </c>
      <c r="C55" s="27"/>
      <c r="D55" s="27"/>
      <c r="E55" s="27"/>
      <c r="F55" s="27"/>
      <c r="G55" s="27"/>
      <c r="H55" s="27"/>
      <c r="I55" s="27"/>
      <c r="J55" s="27"/>
      <c r="K55" s="27"/>
      <c r="L55" s="53">
        <v>2015</v>
      </c>
      <c r="M55" s="53">
        <v>2016</v>
      </c>
      <c r="N55" s="53">
        <v>2017</v>
      </c>
      <c r="O55" s="53">
        <v>2018</v>
      </c>
      <c r="P55" s="31"/>
      <c r="Q55" s="31"/>
      <c r="R55" s="31"/>
      <c r="S55" s="31"/>
      <c r="T55" s="31"/>
      <c r="U55" s="31"/>
      <c r="Z55" s="53"/>
      <c r="AA55" s="82"/>
    </row>
    <row r="56" spans="2:31" x14ac:dyDescent="0.25">
      <c r="C56" t="s">
        <v>10</v>
      </c>
      <c r="L56" s="26">
        <f t="shared" ref="L56:M56" si="6">L51/AVERAGE(K38:L38)</f>
        <v>0.21187283109540897</v>
      </c>
      <c r="M56" s="26">
        <f t="shared" si="6"/>
        <v>0.25188145157307257</v>
      </c>
      <c r="N56" s="26">
        <f>N51/AVERAGE(M38:N38)</f>
        <v>0.18990779508377229</v>
      </c>
      <c r="O56" s="26">
        <f>O51/AVERAGE(N38:O38)</f>
        <v>0.18729060338531259</v>
      </c>
      <c r="P56" s="31"/>
      <c r="Q56" s="31"/>
      <c r="R56" s="31"/>
      <c r="S56" s="31"/>
      <c r="T56" s="31"/>
      <c r="U56" s="31"/>
      <c r="Z56" s="26"/>
      <c r="AA56" s="26"/>
      <c r="AD56" s="26"/>
    </row>
    <row r="57" spans="2:31" x14ac:dyDescent="0.25">
      <c r="C57" t="s">
        <v>11</v>
      </c>
      <c r="L57" s="26">
        <f t="shared" ref="L57:M57" si="7">L51/AVERAGE(K$30:L$30)</f>
        <v>3.4971112723383303E-2</v>
      </c>
      <c r="M57" s="26">
        <f t="shared" si="7"/>
        <v>3.987355883026647E-2</v>
      </c>
      <c r="N57" s="26">
        <f>N51/AVERAGE(M$30:N$30)</f>
        <v>2.9032039178756682E-2</v>
      </c>
      <c r="O57" s="26">
        <f>O51/AVERAGE(N$30:O$30)</f>
        <v>2.8025499683336928E-2</v>
      </c>
      <c r="P57" s="31"/>
      <c r="Q57" s="31"/>
      <c r="R57" s="31"/>
      <c r="S57" s="31"/>
      <c r="T57" s="31"/>
      <c r="U57" s="31"/>
      <c r="Z57" s="26"/>
      <c r="AA57" s="26"/>
      <c r="AD57" s="26"/>
    </row>
    <row r="58" spans="2:31" x14ac:dyDescent="0.25">
      <c r="C58" s="27" t="s">
        <v>49</v>
      </c>
      <c r="D58" s="27"/>
      <c r="E58" s="27"/>
      <c r="F58" s="27"/>
      <c r="G58" s="27"/>
      <c r="H58" s="27"/>
      <c r="I58" s="27"/>
      <c r="J58" s="27"/>
      <c r="K58" s="27"/>
      <c r="L58" s="29">
        <f t="shared" ref="L58:M59" si="8">L43/AVERAGE(K$30:L$30)</f>
        <v>9.2324773071504662E-2</v>
      </c>
      <c r="M58" s="29">
        <f t="shared" si="8"/>
        <v>8.164788882950294E-2</v>
      </c>
      <c r="N58" s="29">
        <f>N43/AVERAGE(M$30:N$30)</f>
        <v>6.9786193233339996E-2</v>
      </c>
      <c r="O58" s="29">
        <f>O43/AVERAGE(N$30:O$30)</f>
        <v>6.3727596673945286E-2</v>
      </c>
      <c r="P58" s="31"/>
      <c r="Q58" s="31"/>
      <c r="R58" s="31"/>
      <c r="S58" s="31"/>
      <c r="T58" s="31"/>
      <c r="U58" s="31"/>
      <c r="Z58" s="29"/>
      <c r="AA58" s="26"/>
    </row>
    <row r="59" spans="2:31" x14ac:dyDescent="0.25">
      <c r="C59" t="s">
        <v>50</v>
      </c>
      <c r="L59" s="26">
        <f t="shared" si="8"/>
        <v>5.5030983365822836E-2</v>
      </c>
      <c r="M59" s="26">
        <f t="shared" si="8"/>
        <v>5.5400900969687715E-2</v>
      </c>
      <c r="N59" s="26">
        <f>N44/AVERAGE(M$30:N$30)</f>
        <v>4.61817890211699E-2</v>
      </c>
      <c r="O59" s="26">
        <f>O44/AVERAGE(N$30:O$30)</f>
        <v>4.1943982839956165E-2</v>
      </c>
      <c r="P59" s="31"/>
      <c r="Q59" s="31"/>
      <c r="R59" s="31"/>
      <c r="S59" s="31"/>
      <c r="T59" s="31"/>
      <c r="U59" s="31"/>
      <c r="Z59" s="26"/>
      <c r="AA59" s="26"/>
    </row>
    <row r="60" spans="2:31" x14ac:dyDescent="0.25">
      <c r="C60" t="s">
        <v>51</v>
      </c>
      <c r="L60" s="26">
        <f t="shared" ref="L60:M60" si="9">-L47/L43</f>
        <v>0.49466927045535508</v>
      </c>
      <c r="M60" s="26">
        <f t="shared" si="9"/>
        <v>0.4401628514870447</v>
      </c>
      <c r="N60" s="26">
        <f>-N47/N43</f>
        <v>0.46498670362185851</v>
      </c>
      <c r="O60" s="26">
        <f>-O47/O43</f>
        <v>0.50985323887392398</v>
      </c>
      <c r="P60" s="31"/>
      <c r="Q60" s="31"/>
      <c r="R60" s="31"/>
      <c r="S60" s="31"/>
      <c r="T60" s="31"/>
      <c r="U60" s="31"/>
      <c r="Z60" s="26"/>
      <c r="AA60" s="26"/>
    </row>
    <row r="61" spans="2:31" x14ac:dyDescent="0.25">
      <c r="C61" s="27" t="s">
        <v>52</v>
      </c>
      <c r="D61" s="27"/>
      <c r="E61" s="27"/>
      <c r="F61" s="27"/>
      <c r="G61" s="27"/>
      <c r="H61" s="27"/>
      <c r="I61" s="27"/>
      <c r="J61" s="27"/>
      <c r="K61" s="27"/>
      <c r="L61" s="29">
        <f t="shared" ref="L61:M62" si="10">-L47/AVERAGE(K$30:L$30)</f>
        <v>4.5670228140237426E-2</v>
      </c>
      <c r="M61" s="29">
        <f t="shared" si="10"/>
        <v>3.5938367565091243E-2</v>
      </c>
      <c r="N61" s="29">
        <f>-N47/AVERAGE(M$30:N$30)</f>
        <v>3.2449651949888816E-2</v>
      </c>
      <c r="O61" s="29">
        <f>-O47/AVERAGE(N$30:O$30)</f>
        <v>3.249172156986211E-2</v>
      </c>
      <c r="P61" s="31"/>
      <c r="Q61" s="31"/>
      <c r="R61" s="31"/>
      <c r="S61" s="31"/>
      <c r="T61" s="31"/>
      <c r="U61" s="31"/>
      <c r="Z61" s="29"/>
      <c r="AA61" s="26"/>
    </row>
    <row r="62" spans="2:31" x14ac:dyDescent="0.25">
      <c r="C62" t="s">
        <v>53</v>
      </c>
      <c r="L62" s="26">
        <f t="shared" si="10"/>
        <v>1.0221727864273923E-2</v>
      </c>
      <c r="M62" s="26">
        <f t="shared" si="10"/>
        <v>2.3288386653432082E-3</v>
      </c>
      <c r="N62" s="26">
        <f>-N48/AVERAGE(M$30:N$30)</f>
        <v>4.5906920446301255E-3</v>
      </c>
      <c r="O62" s="26">
        <f>-O48/AVERAGE(N$30:O$30)</f>
        <v>1.5497841131772742E-3</v>
      </c>
      <c r="P62" s="31"/>
      <c r="Q62" s="31"/>
      <c r="R62" s="31"/>
      <c r="S62" s="31"/>
      <c r="T62" s="31"/>
      <c r="U62" s="31"/>
      <c r="Z62" s="26"/>
      <c r="AA62" s="26"/>
    </row>
    <row r="63" spans="2:31" x14ac:dyDescent="0.25">
      <c r="C63" t="s">
        <v>54</v>
      </c>
      <c r="L63" s="26">
        <f>L32/L35</f>
        <v>0.67083886640172907</v>
      </c>
      <c r="M63" s="26">
        <f>M32/M35</f>
        <v>0.550131381376055</v>
      </c>
      <c r="N63" s="26">
        <f>N32/N35</f>
        <v>0.61982136976026914</v>
      </c>
      <c r="O63" s="26">
        <f>O32/O35</f>
        <v>0.6270469645162815</v>
      </c>
      <c r="P63" s="31"/>
      <c r="Q63" s="31"/>
      <c r="R63" s="31"/>
      <c r="S63" s="31"/>
      <c r="T63" s="31"/>
      <c r="U63" s="31"/>
      <c r="Z63" s="26"/>
      <c r="AA63" s="26"/>
    </row>
    <row r="65" spans="1:25" x14ac:dyDescent="0.25">
      <c r="B65" s="34" t="s">
        <v>5</v>
      </c>
      <c r="C65" s="35"/>
      <c r="D65" s="35"/>
      <c r="E65" s="35"/>
      <c r="F65" s="35"/>
      <c r="G65" s="35"/>
      <c r="H65" s="35"/>
      <c r="I65" s="35"/>
      <c r="J65" s="35"/>
      <c r="K65" s="35"/>
      <c r="L65" s="35"/>
      <c r="M65" s="35"/>
      <c r="N65" s="55">
        <v>2017</v>
      </c>
      <c r="O65" s="55">
        <v>2018</v>
      </c>
    </row>
    <row r="66" spans="1:25" x14ac:dyDescent="0.25">
      <c r="C66" t="s">
        <v>42</v>
      </c>
      <c r="N66" s="25">
        <v>161</v>
      </c>
      <c r="O66" s="25">
        <v>166.66399999999999</v>
      </c>
    </row>
    <row r="67" spans="1:25" x14ac:dyDescent="0.25">
      <c r="C67" s="31" t="s">
        <v>6</v>
      </c>
      <c r="D67" s="31"/>
      <c r="E67" s="31"/>
      <c r="F67" s="31"/>
      <c r="G67" s="31"/>
      <c r="H67" s="31"/>
      <c r="I67" s="31"/>
      <c r="J67" s="31"/>
      <c r="K67" s="31"/>
      <c r="L67" s="31"/>
      <c r="M67" s="31"/>
      <c r="N67" s="25">
        <v>704</v>
      </c>
      <c r="O67" s="25">
        <v>721</v>
      </c>
    </row>
    <row r="68" spans="1:25" x14ac:dyDescent="0.25">
      <c r="C68" s="35" t="s">
        <v>7</v>
      </c>
      <c r="D68" s="35"/>
      <c r="E68" s="35"/>
      <c r="F68" s="35"/>
      <c r="G68" s="35"/>
      <c r="H68" s="35"/>
      <c r="I68" s="35"/>
      <c r="J68" s="35"/>
      <c r="K68" s="35"/>
      <c r="L68" s="35"/>
      <c r="M68" s="35"/>
      <c r="N68" s="36">
        <v>54</v>
      </c>
      <c r="O68" s="36">
        <v>53</v>
      </c>
    </row>
    <row r="69" spans="1:25" x14ac:dyDescent="0.25">
      <c r="C69" s="31" t="s">
        <v>43</v>
      </c>
      <c r="D69" s="31"/>
      <c r="E69" s="31"/>
      <c r="F69" s="31"/>
      <c r="G69" s="31"/>
      <c r="H69" s="31"/>
      <c r="I69" s="31"/>
      <c r="J69" s="31"/>
      <c r="K69" s="31"/>
      <c r="L69" s="31"/>
      <c r="M69" s="31"/>
      <c r="N69" s="25">
        <v>140.30000000000001</v>
      </c>
      <c r="O69" s="25">
        <v>154</v>
      </c>
    </row>
    <row r="70" spans="1:25" x14ac:dyDescent="0.25">
      <c r="W70" s="183">
        <v>43502</v>
      </c>
      <c r="X70" s="183"/>
      <c r="Y70" s="59"/>
    </row>
    <row r="71" spans="1:25" x14ac:dyDescent="0.25">
      <c r="A71" s="52" t="s">
        <v>107</v>
      </c>
    </row>
    <row r="72" spans="1:25" x14ac:dyDescent="0.25">
      <c r="A72" s="52" t="s">
        <v>83</v>
      </c>
    </row>
  </sheetData>
  <mergeCells count="7">
    <mergeCell ref="AC28:AD28"/>
    <mergeCell ref="W70:X70"/>
    <mergeCell ref="C15:E15"/>
    <mergeCell ref="AA28:AB28"/>
    <mergeCell ref="L28:O28"/>
    <mergeCell ref="Q28:T28"/>
    <mergeCell ref="V28:Y28"/>
  </mergeCells>
  <hyperlinks>
    <hyperlink ref="J26" r:id="rId1" xr:uid="{00000000-0004-0000-0400-000000000000}"/>
    <hyperlink ref="J13" r:id="rId2" xr:uid="{00000000-0004-0000-0400-000001000000}"/>
    <hyperlink ref="L4" r:id="rId3" xr:uid="{00000000-0004-0000-0400-000002000000}"/>
  </hyperlinks>
  <pageMargins left="0.39370078740157483" right="0.31496062992125984" top="0.39370078740157483" bottom="0.31496062992125984" header="0.31496062992125984" footer="0.31496062992125984"/>
  <pageSetup paperSize="9" scale="66"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75"/>
  <sheetViews>
    <sheetView view="pageBreakPreview" zoomScaleNormal="100" zoomScaleSheetLayoutView="100" workbookViewId="0">
      <pane ySplit="2" topLeftCell="A3" activePane="bottomLeft" state="frozen"/>
      <selection activeCell="V23" sqref="V23"/>
      <selection pane="bottomLeft" activeCell="A2" sqref="A2"/>
    </sheetView>
  </sheetViews>
  <sheetFormatPr defaultRowHeight="15" outlineLevelRow="1" outlineLevelCol="1" x14ac:dyDescent="0.25"/>
  <cols>
    <col min="1" max="10" width="4.42578125" customWidth="1"/>
    <col min="11" max="11" width="7.7109375" hidden="1" customWidth="1" outlineLevel="1"/>
    <col min="12" max="12" width="7.7109375" customWidth="1" collapsed="1"/>
    <col min="13" max="15" width="7.7109375" customWidth="1"/>
    <col min="16" max="21" width="6.28515625" customWidth="1"/>
    <col min="22" max="25" width="7.42578125" customWidth="1"/>
  </cols>
  <sheetData>
    <row r="1" spans="1:25" ht="18.75" x14ac:dyDescent="0.3">
      <c r="A1" s="41" t="s">
        <v>91</v>
      </c>
      <c r="R1" s="12"/>
      <c r="S1" s="12"/>
      <c r="T1" s="12"/>
      <c r="U1" s="12"/>
    </row>
    <row r="2" spans="1:25" x14ac:dyDescent="0.25">
      <c r="R2" s="12"/>
      <c r="S2" s="12"/>
      <c r="T2" s="12"/>
      <c r="U2" s="12"/>
    </row>
    <row r="3" spans="1:25" x14ac:dyDescent="0.25">
      <c r="A3" t="s">
        <v>0</v>
      </c>
      <c r="L3" s="57" t="s">
        <v>92</v>
      </c>
      <c r="S3" s="1"/>
      <c r="T3" s="1"/>
      <c r="U3" s="1"/>
      <c r="V3" s="1"/>
      <c r="W3" s="1"/>
      <c r="X3" s="1"/>
      <c r="Y3" s="1"/>
    </row>
    <row r="4" spans="1:25" x14ac:dyDescent="0.25">
      <c r="A4" t="s">
        <v>88</v>
      </c>
      <c r="L4" s="56" t="s">
        <v>89</v>
      </c>
      <c r="M4" s="3"/>
      <c r="P4" s="3"/>
      <c r="S4" s="3"/>
      <c r="T4" s="3"/>
      <c r="U4" s="3"/>
      <c r="V4" s="3"/>
      <c r="W4" s="3"/>
      <c r="X4" s="3"/>
      <c r="Y4" s="3"/>
    </row>
    <row r="6" spans="1:25" x14ac:dyDescent="0.25">
      <c r="A6" t="s">
        <v>1</v>
      </c>
      <c r="L6" s="12" t="s">
        <v>93</v>
      </c>
    </row>
    <row r="7" spans="1:25" x14ac:dyDescent="0.25">
      <c r="A7" t="s">
        <v>2</v>
      </c>
      <c r="L7" s="12" t="s">
        <v>108</v>
      </c>
    </row>
    <row r="8" spans="1:25" x14ac:dyDescent="0.25">
      <c r="A8" t="s">
        <v>4</v>
      </c>
      <c r="L8" s="63">
        <v>1</v>
      </c>
      <c r="N8" s="4"/>
      <c r="O8" s="4"/>
      <c r="P8" s="4"/>
      <c r="S8" s="4"/>
      <c r="T8" s="4"/>
      <c r="U8" s="4"/>
      <c r="V8" s="4"/>
      <c r="W8" s="4"/>
      <c r="X8" s="4"/>
      <c r="Y8" s="4"/>
    </row>
    <row r="9" spans="1:25" x14ac:dyDescent="0.25">
      <c r="A9" t="s">
        <v>84</v>
      </c>
      <c r="L9" s="61" t="s">
        <v>87</v>
      </c>
      <c r="N9" s="4"/>
      <c r="O9" s="4"/>
      <c r="P9" s="4"/>
      <c r="S9" s="4"/>
      <c r="T9" s="4"/>
      <c r="U9" s="4"/>
      <c r="V9" s="4"/>
      <c r="W9" s="4"/>
      <c r="X9" s="4"/>
      <c r="Y9" s="4"/>
    </row>
    <row r="10" spans="1:25" x14ac:dyDescent="0.25">
      <c r="A10" t="s">
        <v>185</v>
      </c>
      <c r="L10" s="57" t="s">
        <v>187</v>
      </c>
    </row>
    <row r="11" spans="1:25" x14ac:dyDescent="0.25">
      <c r="S11" s="64"/>
      <c r="T11" s="64"/>
      <c r="U11" s="64"/>
      <c r="V11" s="64"/>
      <c r="W11" s="64"/>
      <c r="X11" s="64"/>
      <c r="Y11" s="64"/>
    </row>
    <row r="12" spans="1:25" x14ac:dyDescent="0.25">
      <c r="A12" s="43" t="s">
        <v>180</v>
      </c>
      <c r="S12" s="64"/>
      <c r="T12" s="64"/>
      <c r="U12" s="64"/>
      <c r="V12" s="64"/>
      <c r="W12" s="64"/>
      <c r="X12" s="64"/>
      <c r="Y12" s="64"/>
    </row>
    <row r="13" spans="1:25" s="65" customFormat="1" x14ac:dyDescent="0.25">
      <c r="A13" s="65" t="s">
        <v>94</v>
      </c>
      <c r="J13" s="5" t="s">
        <v>95</v>
      </c>
    </row>
    <row r="14" spans="1:25" x14ac:dyDescent="0.25">
      <c r="L14" s="5"/>
    </row>
    <row r="15" spans="1:25" ht="15" customHeight="1" x14ac:dyDescent="0.25">
      <c r="A15" s="2"/>
      <c r="B15" s="62" t="s">
        <v>48</v>
      </c>
      <c r="C15" s="187" t="s">
        <v>30</v>
      </c>
      <c r="D15" s="187"/>
      <c r="E15" s="187"/>
      <c r="F15" s="62"/>
      <c r="G15" s="62"/>
      <c r="H15" s="62"/>
      <c r="I15" s="62"/>
      <c r="J15" s="62"/>
      <c r="K15" s="62"/>
      <c r="L15" s="9"/>
      <c r="N15" s="14" t="s">
        <v>12</v>
      </c>
      <c r="O15" s="14"/>
      <c r="R15" s="40" t="s">
        <v>45</v>
      </c>
      <c r="U15" s="12"/>
    </row>
    <row r="16" spans="1:25" x14ac:dyDescent="0.25">
      <c r="A16" s="2"/>
      <c r="B16" s="42">
        <v>1</v>
      </c>
      <c r="C16" s="12" t="s">
        <v>172</v>
      </c>
      <c r="D16" s="12"/>
      <c r="E16" s="12"/>
      <c r="F16" s="12"/>
      <c r="G16" s="12"/>
      <c r="H16" s="12"/>
      <c r="I16" s="12"/>
      <c r="J16" s="12"/>
      <c r="K16" s="12"/>
      <c r="L16" s="12"/>
      <c r="N16" s="6">
        <v>574218.51100000006</v>
      </c>
      <c r="O16" s="6"/>
      <c r="P16" s="6"/>
      <c r="R16" s="66">
        <v>0.16114637529686801</v>
      </c>
    </row>
    <row r="17" spans="1:25" x14ac:dyDescent="0.25">
      <c r="A17" s="2"/>
      <c r="B17" s="18">
        <v>2</v>
      </c>
      <c r="C17" s="19" t="s">
        <v>96</v>
      </c>
      <c r="D17" s="19"/>
      <c r="E17" s="19"/>
      <c r="F17" s="19"/>
      <c r="G17" s="19"/>
      <c r="H17" s="19"/>
      <c r="I17" s="19"/>
      <c r="J17" s="19"/>
      <c r="K17" s="19"/>
      <c r="L17" s="19"/>
      <c r="M17" s="19"/>
      <c r="N17" s="20">
        <v>504715.533</v>
      </c>
      <c r="O17" s="20"/>
      <c r="P17" s="20"/>
      <c r="Q17" s="19"/>
      <c r="R17" s="67">
        <f>+R20+R22</f>
        <v>0.14164133886477367</v>
      </c>
    </row>
    <row r="18" spans="1:25" x14ac:dyDescent="0.25">
      <c r="A18" s="2"/>
      <c r="B18" s="42">
        <v>2</v>
      </c>
      <c r="C18" s="12" t="s">
        <v>173</v>
      </c>
      <c r="D18" s="12"/>
      <c r="E18" s="12"/>
      <c r="F18" s="12"/>
      <c r="G18" s="12"/>
      <c r="H18" s="12"/>
      <c r="I18" s="12"/>
      <c r="J18" s="12"/>
      <c r="K18" s="12"/>
      <c r="L18" s="12"/>
      <c r="N18" s="6">
        <v>417137.136</v>
      </c>
      <c r="O18" s="6"/>
      <c r="P18" s="12"/>
      <c r="R18" s="66">
        <v>0.1170636894847799</v>
      </c>
      <c r="V18" s="3"/>
    </row>
    <row r="19" spans="1:25" x14ac:dyDescent="0.25">
      <c r="A19" s="2"/>
      <c r="B19" s="42">
        <v>3</v>
      </c>
      <c r="C19" s="12" t="s">
        <v>174</v>
      </c>
      <c r="D19" s="12"/>
      <c r="E19" s="12"/>
      <c r="F19" s="12"/>
      <c r="G19" s="12"/>
      <c r="H19" s="12"/>
      <c r="I19" s="12"/>
      <c r="J19" s="12"/>
      <c r="K19" s="12"/>
      <c r="L19" s="12"/>
      <c r="N19" s="6">
        <v>389695.84499999997</v>
      </c>
      <c r="O19" s="6"/>
      <c r="P19" s="6"/>
      <c r="R19" s="66">
        <v>0.10936267585772778</v>
      </c>
    </row>
    <row r="20" spans="1:25" x14ac:dyDescent="0.25">
      <c r="A20" s="2"/>
      <c r="B20" s="15">
        <v>4</v>
      </c>
      <c r="C20" s="16" t="s">
        <v>175</v>
      </c>
      <c r="D20" s="16"/>
      <c r="E20" s="16"/>
      <c r="F20" s="16"/>
      <c r="G20" s="16"/>
      <c r="H20" s="16"/>
      <c r="I20" s="16"/>
      <c r="J20" s="16"/>
      <c r="K20" s="16"/>
      <c r="L20" s="16"/>
      <c r="M20" s="16"/>
      <c r="N20" s="17">
        <v>300960.522</v>
      </c>
      <c r="O20" s="17"/>
      <c r="P20" s="16"/>
      <c r="Q20" s="16"/>
      <c r="R20" s="39">
        <v>8.4460351414469295E-2</v>
      </c>
    </row>
    <row r="21" spans="1:25" x14ac:dyDescent="0.25">
      <c r="A21" s="2"/>
      <c r="B21" s="42">
        <v>5</v>
      </c>
      <c r="C21" s="12" t="s">
        <v>176</v>
      </c>
      <c r="D21" s="12"/>
      <c r="E21" s="12"/>
      <c r="F21" s="12"/>
      <c r="G21" s="12"/>
      <c r="H21" s="12"/>
      <c r="I21" s="12"/>
      <c r="J21" s="12"/>
      <c r="K21" s="12"/>
      <c r="L21" s="12"/>
      <c r="N21" s="6">
        <v>284249.31699999998</v>
      </c>
      <c r="O21" s="6"/>
      <c r="P21" s="12"/>
      <c r="R21" s="66">
        <v>7.9770586001119706E-2</v>
      </c>
    </row>
    <row r="22" spans="1:25" x14ac:dyDescent="0.25">
      <c r="A22" s="2"/>
      <c r="B22" s="15">
        <v>6</v>
      </c>
      <c r="C22" s="16" t="s">
        <v>177</v>
      </c>
      <c r="D22" s="16"/>
      <c r="E22" s="16"/>
      <c r="F22" s="16"/>
      <c r="G22" s="16"/>
      <c r="H22" s="16"/>
      <c r="I22" s="16"/>
      <c r="J22" s="16"/>
      <c r="K22" s="16"/>
      <c r="L22" s="16"/>
      <c r="M22" s="16"/>
      <c r="N22" s="17">
        <v>203755.011</v>
      </c>
      <c r="O22" s="17"/>
      <c r="P22" s="16"/>
      <c r="Q22" s="16"/>
      <c r="R22" s="68">
        <v>5.718098745030438E-2</v>
      </c>
    </row>
    <row r="23" spans="1:25" x14ac:dyDescent="0.25">
      <c r="A23" s="2"/>
      <c r="B23" s="42">
        <v>7</v>
      </c>
      <c r="C23" s="12" t="s">
        <v>183</v>
      </c>
      <c r="D23" s="12"/>
      <c r="E23" s="12"/>
      <c r="F23" s="12"/>
      <c r="G23" s="12"/>
      <c r="H23" s="12"/>
      <c r="I23" s="12"/>
      <c r="J23" s="12"/>
      <c r="K23" s="12"/>
      <c r="L23" s="12"/>
      <c r="N23" s="6">
        <v>192579.014</v>
      </c>
      <c r="O23" s="6"/>
      <c r="P23" s="12"/>
      <c r="R23" s="66">
        <v>5.4044600565558563E-2</v>
      </c>
    </row>
    <row r="24" spans="1:25" x14ac:dyDescent="0.25">
      <c r="A24" s="2"/>
      <c r="B24" s="42">
        <v>8</v>
      </c>
      <c r="C24" s="12" t="s">
        <v>178</v>
      </c>
      <c r="D24" s="12"/>
      <c r="E24" s="12"/>
      <c r="F24" s="12"/>
      <c r="G24" s="12"/>
      <c r="H24" s="12"/>
      <c r="I24" s="12"/>
      <c r="J24" s="12"/>
      <c r="K24" s="12"/>
      <c r="L24" s="12"/>
      <c r="N24" s="6">
        <v>192538.98699999999</v>
      </c>
      <c r="O24" s="6"/>
      <c r="P24" s="12"/>
      <c r="R24" s="66">
        <v>5.4033367549136339E-2</v>
      </c>
    </row>
    <row r="25" spans="1:25" x14ac:dyDescent="0.25">
      <c r="A25" s="2"/>
      <c r="B25" s="42">
        <v>9</v>
      </c>
      <c r="C25" s="12" t="s">
        <v>179</v>
      </c>
      <c r="D25" s="12"/>
      <c r="E25" s="12"/>
      <c r="F25" s="12"/>
      <c r="G25" s="12"/>
      <c r="H25" s="12"/>
      <c r="I25" s="12"/>
      <c r="J25" s="12"/>
      <c r="K25" s="12"/>
      <c r="L25" s="12"/>
      <c r="N25" s="6">
        <v>163028.29699999999</v>
      </c>
      <c r="O25" s="6"/>
      <c r="P25" s="6"/>
      <c r="R25" s="66">
        <v>4.5751606103083743E-2</v>
      </c>
    </row>
    <row r="27" spans="1:25" x14ac:dyDescent="0.25">
      <c r="A27" s="2" t="s">
        <v>97</v>
      </c>
    </row>
    <row r="28" spans="1:25" x14ac:dyDescent="0.25">
      <c r="A28" s="69" t="s">
        <v>98</v>
      </c>
    </row>
    <row r="29" spans="1:25" x14ac:dyDescent="0.25">
      <c r="A29" s="24" t="s">
        <v>99</v>
      </c>
      <c r="J29" s="5" t="s">
        <v>100</v>
      </c>
    </row>
    <row r="30" spans="1:25" x14ac:dyDescent="0.25">
      <c r="L30" s="5"/>
    </row>
    <row r="31" spans="1:25" x14ac:dyDescent="0.25">
      <c r="K31" s="31"/>
      <c r="L31" s="181" t="s">
        <v>101</v>
      </c>
      <c r="M31" s="181"/>
      <c r="N31" s="181"/>
      <c r="O31" s="181"/>
      <c r="P31" s="31"/>
      <c r="Q31" s="181" t="s">
        <v>47</v>
      </c>
      <c r="R31" s="181"/>
      <c r="S31" s="181"/>
      <c r="T31" s="188"/>
      <c r="U31" s="31"/>
      <c r="V31" s="181" t="s">
        <v>102</v>
      </c>
      <c r="W31" s="181"/>
      <c r="X31" s="181"/>
      <c r="Y31" s="189"/>
    </row>
    <row r="32" spans="1:25" x14ac:dyDescent="0.25">
      <c r="B32" s="30" t="s">
        <v>81</v>
      </c>
      <c r="C32" s="27"/>
      <c r="D32" s="27"/>
      <c r="E32" s="27"/>
      <c r="F32" s="27"/>
      <c r="G32" s="27"/>
      <c r="H32" s="27"/>
      <c r="I32" s="27"/>
      <c r="J32" s="27"/>
      <c r="K32" s="30">
        <v>2014</v>
      </c>
      <c r="L32" s="53">
        <v>2015</v>
      </c>
      <c r="M32" s="53">
        <v>2016</v>
      </c>
      <c r="N32" s="53">
        <v>2017</v>
      </c>
      <c r="O32" s="53">
        <v>2018</v>
      </c>
      <c r="P32" s="54"/>
      <c r="Q32" s="53">
        <v>2015</v>
      </c>
      <c r="R32" s="53">
        <v>2016</v>
      </c>
      <c r="S32" s="53">
        <v>2017</v>
      </c>
      <c r="T32" s="53">
        <v>2018</v>
      </c>
      <c r="U32" s="54"/>
      <c r="V32" s="53">
        <v>2015</v>
      </c>
      <c r="W32" s="53">
        <v>2016</v>
      </c>
      <c r="X32" s="53">
        <v>2017</v>
      </c>
      <c r="Y32" s="53">
        <v>2018</v>
      </c>
    </row>
    <row r="33" spans="2:25" x14ac:dyDescent="0.25">
      <c r="C33" t="s">
        <v>12</v>
      </c>
      <c r="K33" s="25">
        <v>227320.51699999999</v>
      </c>
      <c r="L33" s="25">
        <v>235982.24</v>
      </c>
      <c r="M33" s="25">
        <v>244720.24900000001</v>
      </c>
      <c r="N33" s="25">
        <v>294754.83</v>
      </c>
      <c r="O33" s="25">
        <v>326536.42700000003</v>
      </c>
      <c r="P33" s="31"/>
      <c r="Q33" s="25">
        <f t="shared" ref="Q33:T41" si="0">L33/L$42</f>
        <v>1944.4116607051608</v>
      </c>
      <c r="R33" s="25">
        <f t="shared" si="0"/>
        <v>1982.8146983473735</v>
      </c>
      <c r="S33" s="25">
        <f t="shared" si="0"/>
        <v>2490.0291952021671</v>
      </c>
      <c r="T33" s="25">
        <f t="shared" si="0"/>
        <v>2762.5239695188334</v>
      </c>
      <c r="U33" s="31"/>
      <c r="V33" s="25">
        <f t="shared" ref="V33:Y41" si="1">+L33*L$43/1000</f>
        <v>608.83417919999999</v>
      </c>
      <c r="W33" s="25">
        <f t="shared" si="1"/>
        <v>616.69502748000002</v>
      </c>
      <c r="X33" s="25">
        <f t="shared" si="1"/>
        <v>772.25765460000014</v>
      </c>
      <c r="Y33" s="25">
        <f t="shared" si="1"/>
        <v>888.17908144000012</v>
      </c>
    </row>
    <row r="34" spans="2:25" x14ac:dyDescent="0.25">
      <c r="C34" t="s">
        <v>13</v>
      </c>
      <c r="K34" s="70">
        <v>66232.585999999996</v>
      </c>
      <c r="L34" s="25">
        <v>68257.885999999999</v>
      </c>
      <c r="M34" s="25">
        <v>70819.360000000001</v>
      </c>
      <c r="N34" s="25">
        <v>71788.736999999994</v>
      </c>
      <c r="O34" s="25">
        <f>(29741938+137598+46457254+3857646)/1000</f>
        <v>80194.436000000002</v>
      </c>
      <c r="P34" s="31"/>
      <c r="Q34" s="25">
        <f t="shared" si="0"/>
        <v>562.42126303014811</v>
      </c>
      <c r="R34" s="25">
        <f t="shared" si="0"/>
        <v>573.80485885152086</v>
      </c>
      <c r="S34" s="25">
        <f t="shared" si="0"/>
        <v>606.45673224995164</v>
      </c>
      <c r="T34" s="25">
        <f t="shared" si="0"/>
        <v>678.45126409753982</v>
      </c>
      <c r="U34" s="31"/>
      <c r="V34" s="25">
        <f t="shared" si="1"/>
        <v>176.10534588000002</v>
      </c>
      <c r="W34" s="25">
        <f t="shared" si="1"/>
        <v>178.46478719999999</v>
      </c>
      <c r="X34" s="25">
        <f t="shared" si="1"/>
        <v>188.08649093999998</v>
      </c>
      <c r="Y34" s="25">
        <f t="shared" si="1"/>
        <v>218.12886592000001</v>
      </c>
    </row>
    <row r="35" spans="2:25" x14ac:dyDescent="0.25">
      <c r="C35" s="27" t="s">
        <v>14</v>
      </c>
      <c r="D35" s="27"/>
      <c r="E35" s="27"/>
      <c r="F35" s="27"/>
      <c r="G35" s="27"/>
      <c r="H35" s="27"/>
      <c r="I35" s="27"/>
      <c r="J35" s="27"/>
      <c r="K35" s="71">
        <v>155655.571</v>
      </c>
      <c r="L35" s="28">
        <v>162594.32800000001</v>
      </c>
      <c r="M35" s="28">
        <v>168367.109</v>
      </c>
      <c r="N35" s="28">
        <v>217272.549</v>
      </c>
      <c r="O35" s="28">
        <v>240542.53400000001</v>
      </c>
      <c r="P35" s="27"/>
      <c r="Q35" s="28">
        <f t="shared" si="0"/>
        <v>1339.7207659683188</v>
      </c>
      <c r="R35" s="28">
        <f t="shared" si="0"/>
        <v>1364.1730907337151</v>
      </c>
      <c r="S35" s="28">
        <f t="shared" si="0"/>
        <v>1835.4745546527377</v>
      </c>
      <c r="T35" s="28">
        <f t="shared" si="0"/>
        <v>2035.0088410313836</v>
      </c>
      <c r="U35" s="27"/>
      <c r="V35" s="28">
        <f t="shared" si="1"/>
        <v>419.49336624000006</v>
      </c>
      <c r="W35" s="28">
        <f t="shared" si="1"/>
        <v>424.28511467999999</v>
      </c>
      <c r="X35" s="28">
        <f t="shared" si="1"/>
        <v>569.25407838000001</v>
      </c>
      <c r="Y35" s="28">
        <f t="shared" si="1"/>
        <v>654.27569248000009</v>
      </c>
    </row>
    <row r="36" spans="2:25" x14ac:dyDescent="0.25">
      <c r="D36" t="s">
        <v>15</v>
      </c>
      <c r="K36" s="70"/>
      <c r="L36" s="25">
        <v>72247.928</v>
      </c>
      <c r="M36" s="25">
        <v>80524.350000000006</v>
      </c>
      <c r="N36" s="25">
        <v>108068.253</v>
      </c>
      <c r="O36" s="25">
        <v>112847.844</v>
      </c>
      <c r="P36" s="31"/>
      <c r="Q36" s="25">
        <f t="shared" si="0"/>
        <v>595.2978226877874</v>
      </c>
      <c r="R36" s="25">
        <f t="shared" si="0"/>
        <v>652.43830621824975</v>
      </c>
      <c r="S36" s="25">
        <f t="shared" si="0"/>
        <v>912.93874656606704</v>
      </c>
      <c r="T36" s="25">
        <f t="shared" si="0"/>
        <v>954.70167546888126</v>
      </c>
      <c r="U36" s="31"/>
      <c r="V36" s="25">
        <f t="shared" si="1"/>
        <v>186.39965423999999</v>
      </c>
      <c r="W36" s="25">
        <f t="shared" si="1"/>
        <v>202.92136200000002</v>
      </c>
      <c r="X36" s="25">
        <f t="shared" si="1"/>
        <v>283.13882286</v>
      </c>
      <c r="Y36" s="25">
        <f t="shared" si="1"/>
        <v>306.94613568</v>
      </c>
    </row>
    <row r="37" spans="2:25" x14ac:dyDescent="0.25">
      <c r="D37" t="s">
        <v>16</v>
      </c>
      <c r="K37" s="70"/>
      <c r="L37" s="25">
        <v>90346.400000000009</v>
      </c>
      <c r="M37" s="25">
        <v>87842.758999999991</v>
      </c>
      <c r="N37" s="25">
        <v>109204.296</v>
      </c>
      <c r="O37" s="25">
        <v>127694.69</v>
      </c>
      <c r="P37" s="31"/>
      <c r="Q37" s="25">
        <f t="shared" si="0"/>
        <v>744.42294328053151</v>
      </c>
      <c r="R37" s="25">
        <f t="shared" si="0"/>
        <v>711.73478451546521</v>
      </c>
      <c r="S37" s="25">
        <f t="shared" si="0"/>
        <v>922.53580808667061</v>
      </c>
      <c r="T37" s="25">
        <f t="shared" si="0"/>
        <v>1080.3071655625022</v>
      </c>
      <c r="U37" s="31"/>
      <c r="V37" s="25">
        <f t="shared" si="1"/>
        <v>233.09371200000004</v>
      </c>
      <c r="W37" s="25">
        <f t="shared" si="1"/>
        <v>221.36375267999998</v>
      </c>
      <c r="X37" s="25">
        <f t="shared" si="1"/>
        <v>286.11525552000001</v>
      </c>
      <c r="Y37" s="25">
        <f t="shared" si="1"/>
        <v>347.32955680000003</v>
      </c>
    </row>
    <row r="38" spans="2:25" x14ac:dyDescent="0.25">
      <c r="C38" s="27" t="s">
        <v>17</v>
      </c>
      <c r="D38" s="27"/>
      <c r="E38" s="27"/>
      <c r="F38" s="27"/>
      <c r="G38" s="27"/>
      <c r="H38" s="27"/>
      <c r="I38" s="27"/>
      <c r="J38" s="27"/>
      <c r="K38" s="71">
        <v>127042.019</v>
      </c>
      <c r="L38" s="28">
        <v>138714.929</v>
      </c>
      <c r="M38" s="28">
        <v>141900.016</v>
      </c>
      <c r="N38" s="28">
        <v>165425.30300000001</v>
      </c>
      <c r="O38" s="28">
        <v>179130.09599999999</v>
      </c>
      <c r="P38" s="27"/>
      <c r="Q38" s="28">
        <f t="shared" si="0"/>
        <v>1142.9628155978539</v>
      </c>
      <c r="R38" s="28">
        <f t="shared" si="0"/>
        <v>1149.7268353160571</v>
      </c>
      <c r="S38" s="28">
        <f t="shared" si="0"/>
        <v>1397.4795055781262</v>
      </c>
      <c r="T38" s="28">
        <f t="shared" si="0"/>
        <v>1515.4547638331624</v>
      </c>
      <c r="U38" s="27"/>
      <c r="V38" s="28">
        <f t="shared" si="1"/>
        <v>357.88451682000004</v>
      </c>
      <c r="W38" s="28">
        <f t="shared" si="1"/>
        <v>357.58804032</v>
      </c>
      <c r="X38" s="28">
        <f t="shared" si="1"/>
        <v>433.41429386000004</v>
      </c>
      <c r="Y38" s="28">
        <f t="shared" si="1"/>
        <v>487.23386112000003</v>
      </c>
    </row>
    <row r="39" spans="2:25" x14ac:dyDescent="0.25">
      <c r="C39" s="72"/>
      <c r="D39" s="72" t="s">
        <v>15</v>
      </c>
      <c r="E39" s="72"/>
      <c r="F39" s="72"/>
      <c r="G39" s="72"/>
      <c r="H39" s="72"/>
      <c r="I39" s="72"/>
      <c r="J39" s="72"/>
      <c r="K39" s="73"/>
      <c r="L39" s="74">
        <v>63984.815000000002</v>
      </c>
      <c r="M39" s="74">
        <v>65040.714999999997</v>
      </c>
      <c r="N39" s="74">
        <v>66875.804999999993</v>
      </c>
      <c r="O39" s="74">
        <v>71385.95</v>
      </c>
      <c r="P39" s="72"/>
      <c r="Q39" s="74">
        <f t="shared" si="0"/>
        <v>527.21264275677061</v>
      </c>
      <c r="R39" s="74">
        <f t="shared" si="0"/>
        <v>526.98412256446534</v>
      </c>
      <c r="S39" s="74">
        <f t="shared" si="0"/>
        <v>564.95327626233313</v>
      </c>
      <c r="T39" s="74">
        <f t="shared" si="0"/>
        <v>603.93077664769373</v>
      </c>
      <c r="U39" s="72"/>
      <c r="V39" s="74">
        <f t="shared" si="1"/>
        <v>165.08082270000003</v>
      </c>
      <c r="W39" s="74">
        <f t="shared" si="1"/>
        <v>163.90260180000001</v>
      </c>
      <c r="X39" s="74">
        <f t="shared" si="1"/>
        <v>175.21460909999999</v>
      </c>
      <c r="Y39" s="74">
        <f t="shared" si="1"/>
        <v>194.16978400000002</v>
      </c>
    </row>
    <row r="40" spans="2:25" x14ac:dyDescent="0.25">
      <c r="D40" t="s">
        <v>16</v>
      </c>
      <c r="K40" s="70"/>
      <c r="L40" s="25">
        <v>74730.114000000001</v>
      </c>
      <c r="M40" s="25">
        <v>76859.301000000007</v>
      </c>
      <c r="N40" s="25">
        <v>98549.498000000007</v>
      </c>
      <c r="O40" s="25">
        <v>107744.14599999999</v>
      </c>
      <c r="P40" s="31"/>
      <c r="Q40" s="25">
        <f t="shared" si="0"/>
        <v>615.75017284108333</v>
      </c>
      <c r="R40" s="25">
        <f t="shared" si="0"/>
        <v>622.74271275159163</v>
      </c>
      <c r="S40" s="25">
        <f t="shared" si="0"/>
        <v>832.52622931579299</v>
      </c>
      <c r="T40" s="25">
        <f t="shared" si="0"/>
        <v>911.52398718546863</v>
      </c>
      <c r="U40" s="31"/>
      <c r="V40" s="25">
        <f t="shared" si="1"/>
        <v>192.80369411999999</v>
      </c>
      <c r="W40" s="25">
        <f t="shared" si="1"/>
        <v>193.68543852000002</v>
      </c>
      <c r="X40" s="25">
        <f t="shared" si="1"/>
        <v>258.19968476000003</v>
      </c>
      <c r="Y40" s="25">
        <f t="shared" si="1"/>
        <v>293.06407712000004</v>
      </c>
    </row>
    <row r="41" spans="2:25" x14ac:dyDescent="0.25">
      <c r="C41" s="27" t="s">
        <v>18</v>
      </c>
      <c r="D41" s="27"/>
      <c r="E41" s="27"/>
      <c r="F41" s="27"/>
      <c r="G41" s="27"/>
      <c r="H41" s="27"/>
      <c r="I41" s="27"/>
      <c r="J41" s="27"/>
      <c r="K41" s="71">
        <v>33940.927000000003</v>
      </c>
      <c r="L41" s="28">
        <v>36739.855000000003</v>
      </c>
      <c r="M41" s="28">
        <v>40633.995999999999</v>
      </c>
      <c r="N41" s="28">
        <v>40952.633999999998</v>
      </c>
      <c r="O41" s="28">
        <v>45145.792000000001</v>
      </c>
      <c r="P41" s="27"/>
      <c r="Q41" s="28">
        <f t="shared" si="0"/>
        <v>302.72363917986718</v>
      </c>
      <c r="R41" s="28">
        <f t="shared" si="0"/>
        <v>329.23178548003347</v>
      </c>
      <c r="S41" s="28">
        <f t="shared" si="0"/>
        <v>345.9595701296189</v>
      </c>
      <c r="T41" s="28">
        <f t="shared" si="0"/>
        <v>381.93696693726486</v>
      </c>
      <c r="U41" s="27"/>
      <c r="V41" s="28">
        <f t="shared" si="1"/>
        <v>94.788825900000006</v>
      </c>
      <c r="W41" s="28">
        <f t="shared" si="1"/>
        <v>102.39766992</v>
      </c>
      <c r="X41" s="28">
        <f t="shared" si="1"/>
        <v>107.29590107999999</v>
      </c>
      <c r="Y41" s="28">
        <f t="shared" si="1"/>
        <v>122.79655424000001</v>
      </c>
    </row>
    <row r="42" spans="2:25" x14ac:dyDescent="0.25">
      <c r="C42" s="13" t="s">
        <v>103</v>
      </c>
      <c r="D42" s="13"/>
      <c r="E42" s="13"/>
      <c r="F42" s="13"/>
      <c r="G42" s="13"/>
      <c r="H42" s="13"/>
      <c r="I42" s="13"/>
      <c r="J42" s="13"/>
      <c r="K42" s="37"/>
      <c r="L42" s="50">
        <v>121.36434108527132</v>
      </c>
      <c r="M42" s="50">
        <v>123.42063492063491</v>
      </c>
      <c r="N42" s="50">
        <v>118.37404580152671</v>
      </c>
      <c r="O42" s="50">
        <v>118.20220588235293</v>
      </c>
      <c r="P42" s="32"/>
      <c r="Q42" s="32"/>
      <c r="R42" s="32"/>
      <c r="S42" s="13"/>
      <c r="T42" s="13"/>
      <c r="U42" s="32"/>
      <c r="V42" s="32"/>
      <c r="W42" s="32"/>
      <c r="X42" s="13"/>
      <c r="Y42" s="13"/>
    </row>
    <row r="43" spans="2:25" x14ac:dyDescent="0.25">
      <c r="C43" s="13" t="s">
        <v>104</v>
      </c>
      <c r="D43" s="13"/>
      <c r="E43" s="13"/>
      <c r="F43" s="13"/>
      <c r="G43" s="13"/>
      <c r="H43" s="13"/>
      <c r="I43" s="13"/>
      <c r="J43" s="13"/>
      <c r="K43" s="37"/>
      <c r="L43" s="32">
        <v>2.58</v>
      </c>
      <c r="M43" s="32">
        <v>2.52</v>
      </c>
      <c r="N43" s="32">
        <v>2.62</v>
      </c>
      <c r="O43" s="32">
        <v>2.72</v>
      </c>
      <c r="P43" s="32"/>
      <c r="Q43" s="32"/>
      <c r="R43" s="32"/>
      <c r="S43" s="13"/>
      <c r="T43" s="13"/>
      <c r="U43" s="32"/>
      <c r="V43" s="32"/>
      <c r="W43" s="32"/>
      <c r="X43" s="13"/>
      <c r="Y43" s="13"/>
    </row>
    <row r="44" spans="2:25" x14ac:dyDescent="0.25">
      <c r="K44" s="31"/>
      <c r="L44" s="31"/>
      <c r="M44" s="31"/>
      <c r="N44" s="70"/>
      <c r="O44" s="70"/>
      <c r="P44" s="31"/>
      <c r="Q44" s="31"/>
      <c r="R44" s="31"/>
      <c r="S44" s="31"/>
      <c r="T44" s="31"/>
      <c r="U44" s="31"/>
      <c r="V44" s="31"/>
      <c r="W44" s="31"/>
      <c r="X44" s="31"/>
      <c r="Y44" s="31"/>
    </row>
    <row r="45" spans="2:25" x14ac:dyDescent="0.25">
      <c r="B45" s="30" t="s">
        <v>8</v>
      </c>
      <c r="C45" s="27"/>
      <c r="D45" s="27"/>
      <c r="E45" s="27"/>
      <c r="F45" s="27"/>
      <c r="G45" s="27"/>
      <c r="H45" s="27"/>
      <c r="I45" s="27"/>
      <c r="J45" s="27"/>
      <c r="K45" s="27"/>
      <c r="L45" s="53">
        <v>2015</v>
      </c>
      <c r="M45" s="53">
        <v>2016</v>
      </c>
      <c r="N45" s="53">
        <v>2017</v>
      </c>
      <c r="O45" s="53">
        <v>2018</v>
      </c>
      <c r="P45" s="54"/>
      <c r="Q45" s="53">
        <v>2015</v>
      </c>
      <c r="R45" s="53">
        <v>2016</v>
      </c>
      <c r="S45" s="53">
        <v>2017</v>
      </c>
      <c r="T45" s="53">
        <v>2018</v>
      </c>
      <c r="U45" s="54"/>
      <c r="V45" s="53">
        <v>2015</v>
      </c>
      <c r="W45" s="53">
        <v>2016</v>
      </c>
      <c r="X45" s="53">
        <v>2017</v>
      </c>
      <c r="Y45" s="53">
        <v>2018</v>
      </c>
    </row>
    <row r="46" spans="2:25" x14ac:dyDescent="0.25">
      <c r="C46" t="s">
        <v>19</v>
      </c>
      <c r="K46" s="31"/>
      <c r="L46" s="70">
        <f>SUM(L47:L49)</f>
        <v>12123.693000000001</v>
      </c>
      <c r="M46" s="70">
        <f>SUM(M47:M49)</f>
        <v>11647.406999999999</v>
      </c>
      <c r="N46" s="70">
        <f>SUM(N47:N49)</f>
        <v>11782.874</v>
      </c>
      <c r="O46" s="70">
        <f>SUM(O47:O49)</f>
        <v>16856.771000000001</v>
      </c>
      <c r="P46" s="31"/>
      <c r="Q46" s="25">
        <f>L46/L$55</f>
        <v>100.43931221182096</v>
      </c>
      <c r="R46" s="25">
        <f t="shared" ref="R46:T54" si="2">M46/M$55</f>
        <v>94.637705714669181</v>
      </c>
      <c r="S46" s="25">
        <f t="shared" si="2"/>
        <v>97.106919257003312</v>
      </c>
      <c r="T46" s="25">
        <f t="shared" si="2"/>
        <v>142.55733385010731</v>
      </c>
      <c r="U46" s="31"/>
      <c r="V46" s="25">
        <f>+L46*L$56/1000</f>
        <v>31.126494992270992</v>
      </c>
      <c r="W46" s="25">
        <f t="shared" ref="W46:Y54" si="3">+M46*M$56/1000</f>
        <v>29.476226402727232</v>
      </c>
      <c r="X46" s="25">
        <f t="shared" si="3"/>
        <v>30.0266123371315</v>
      </c>
      <c r="Y46" s="25">
        <f t="shared" si="3"/>
        <v>45.456631895819733</v>
      </c>
    </row>
    <row r="47" spans="2:25" x14ac:dyDescent="0.25">
      <c r="D47" t="s">
        <v>20</v>
      </c>
      <c r="K47" s="31"/>
      <c r="L47" s="70">
        <v>10686.388000000001</v>
      </c>
      <c r="M47" s="70">
        <v>10591.085999999999</v>
      </c>
      <c r="N47" s="25">
        <v>11116.087</v>
      </c>
      <c r="O47" s="25">
        <v>12364.332</v>
      </c>
      <c r="P47" s="31"/>
      <c r="Q47" s="25">
        <f t="shared" ref="Q47:Q54" si="4">L47/L$55</f>
        <v>88.531890468412314</v>
      </c>
      <c r="R47" s="25">
        <f t="shared" si="2"/>
        <v>86.054868698823086</v>
      </c>
      <c r="S47" s="25">
        <f t="shared" si="2"/>
        <v>91.611686822996163</v>
      </c>
      <c r="T47" s="25">
        <f t="shared" si="2"/>
        <v>104.56487809898854</v>
      </c>
      <c r="U47" s="31"/>
      <c r="V47" s="25">
        <f t="shared" ref="V47:V54" si="5">+L47*L$56/1000</f>
        <v>27.436343246852655</v>
      </c>
      <c r="W47" s="25">
        <f t="shared" si="3"/>
        <v>26.802982739999962</v>
      </c>
      <c r="X47" s="25">
        <f t="shared" si="3"/>
        <v>28.327421226334685</v>
      </c>
      <c r="Y47" s="25">
        <f t="shared" si="3"/>
        <v>33.342144136721359</v>
      </c>
    </row>
    <row r="48" spans="2:25" x14ac:dyDescent="0.25">
      <c r="C48" s="27"/>
      <c r="D48" s="27" t="s">
        <v>21</v>
      </c>
      <c r="E48" s="27"/>
      <c r="F48" s="27"/>
      <c r="G48" s="27"/>
      <c r="H48" s="27"/>
      <c r="I48" s="27"/>
      <c r="J48" s="27"/>
      <c r="K48" s="27"/>
      <c r="L48" s="71">
        <v>2006.92</v>
      </c>
      <c r="M48" s="71">
        <v>2174.6280000000002</v>
      </c>
      <c r="N48" s="28">
        <v>2498.2800000000002</v>
      </c>
      <c r="O48" s="28">
        <v>3008.34</v>
      </c>
      <c r="P48" s="27"/>
      <c r="Q48" s="28">
        <f t="shared" si="4"/>
        <v>16.626424346455138</v>
      </c>
      <c r="R48" s="28">
        <f t="shared" si="2"/>
        <v>17.669323713241894</v>
      </c>
      <c r="S48" s="28">
        <f t="shared" si="2"/>
        <v>20.58922757227025</v>
      </c>
      <c r="T48" s="28">
        <f t="shared" si="2"/>
        <v>25.441463831633701</v>
      </c>
      <c r="U48" s="27"/>
      <c r="V48" s="28">
        <f t="shared" si="5"/>
        <v>5.1525871968127612</v>
      </c>
      <c r="W48" s="28">
        <f t="shared" si="3"/>
        <v>5.5033560061660012</v>
      </c>
      <c r="X48" s="28">
        <f t="shared" si="3"/>
        <v>6.3664336111553848</v>
      </c>
      <c r="Y48" s="28">
        <f t="shared" si="3"/>
        <v>8.1124080049180431</v>
      </c>
    </row>
    <row r="49" spans="2:25" x14ac:dyDescent="0.25">
      <c r="D49" t="s">
        <v>22</v>
      </c>
      <c r="K49" s="31"/>
      <c r="L49" s="25">
        <f>(615248-546984+12225+204818-854922)/1000</f>
        <v>-569.61500000000001</v>
      </c>
      <c r="M49" s="25">
        <f>(-49278+86576+31328+359166-1546099)/1000</f>
        <v>-1118.307</v>
      </c>
      <c r="N49" s="25">
        <f>(-710172+576244+29223+64620+304898+48417-2144723)/1000</f>
        <v>-1831.4929999999999</v>
      </c>
      <c r="O49" s="25">
        <f>(268369-310068+44023+37923+467429-7326+983749)/1000</f>
        <v>1484.0989999999999</v>
      </c>
      <c r="P49" s="31"/>
      <c r="Q49" s="25">
        <f t="shared" si="4"/>
        <v>-4.7190026030464809</v>
      </c>
      <c r="R49" s="25">
        <f t="shared" si="2"/>
        <v>-9.0864866973957863</v>
      </c>
      <c r="S49" s="25">
        <f t="shared" si="2"/>
        <v>-15.093995138263107</v>
      </c>
      <c r="T49" s="25">
        <f t="shared" si="2"/>
        <v>12.550991919485078</v>
      </c>
      <c r="U49" s="31"/>
      <c r="V49" s="25">
        <f t="shared" si="5"/>
        <v>-1.4624354513944258</v>
      </c>
      <c r="W49" s="25">
        <f t="shared" si="3"/>
        <v>-2.8301123434387314</v>
      </c>
      <c r="X49" s="25">
        <f t="shared" si="3"/>
        <v>-4.6672425003585696</v>
      </c>
      <c r="Y49" s="25">
        <f t="shared" si="3"/>
        <v>4.0020797541803326</v>
      </c>
    </row>
    <row r="50" spans="2:25" x14ac:dyDescent="0.25">
      <c r="C50" t="s">
        <v>23</v>
      </c>
      <c r="K50" s="31"/>
      <c r="L50" s="25">
        <f>(-3353867-442607-3961370+854922)/1000</f>
        <v>-6902.9219999999996</v>
      </c>
      <c r="M50" s="25">
        <f>-8526.358+1546.099</f>
        <v>-6980.259</v>
      </c>
      <c r="N50" s="25">
        <f>(-3455740-501878-3070411)/1000</f>
        <v>-7028.0290000000005</v>
      </c>
      <c r="O50" s="25">
        <f>(-3594903-523051-3285687)/1000</f>
        <v>-7403.6409999999996</v>
      </c>
      <c r="P50" s="31"/>
      <c r="Q50" s="25">
        <f t="shared" si="4"/>
        <v>-57.187586153150491</v>
      </c>
      <c r="R50" s="25">
        <f t="shared" si="2"/>
        <v>-56.716116905176499</v>
      </c>
      <c r="S50" s="25">
        <f t="shared" si="2"/>
        <v>-57.920524707204521</v>
      </c>
      <c r="T50" s="25">
        <f t="shared" si="2"/>
        <v>-62.612425697860068</v>
      </c>
      <c r="U50" s="31"/>
      <c r="V50" s="25">
        <f t="shared" si="5"/>
        <v>-17.722633447171358</v>
      </c>
      <c r="W50" s="25">
        <f t="shared" si="3"/>
        <v>-17.66502146217389</v>
      </c>
      <c r="X50" s="25">
        <f t="shared" si="3"/>
        <v>-17.90971390147412</v>
      </c>
      <c r="Y50" s="25">
        <f t="shared" si="3"/>
        <v>-19.964949611393465</v>
      </c>
    </row>
    <row r="51" spans="2:25" x14ac:dyDescent="0.25">
      <c r="C51" s="27" t="s">
        <v>24</v>
      </c>
      <c r="D51" s="27"/>
      <c r="E51" s="27"/>
      <c r="F51" s="27"/>
      <c r="G51" s="27"/>
      <c r="H51" s="27"/>
      <c r="I51" s="27"/>
      <c r="J51" s="27"/>
      <c r="K51" s="27"/>
      <c r="L51" s="71">
        <v>-2904.91</v>
      </c>
      <c r="M51" s="71">
        <v>-524.66499999999996</v>
      </c>
      <c r="N51" s="28">
        <v>2302.4499999999998</v>
      </c>
      <c r="O51" s="28">
        <v>270.24700000000001</v>
      </c>
      <c r="P51" s="27"/>
      <c r="Q51" s="28">
        <f t="shared" si="4"/>
        <v>-24.065865280260791</v>
      </c>
      <c r="R51" s="28">
        <f t="shared" si="2"/>
        <v>-4.2630168129942492</v>
      </c>
      <c r="S51" s="28">
        <f t="shared" si="2"/>
        <v>18.975321830929133</v>
      </c>
      <c r="T51" s="28">
        <f t="shared" si="2"/>
        <v>2.2854728109547167</v>
      </c>
      <c r="U51" s="27"/>
      <c r="V51" s="28">
        <f t="shared" si="5"/>
        <v>-7.4580960247012129</v>
      </c>
      <c r="W51" s="28">
        <f t="shared" si="3"/>
        <v>-1.3277757294466386</v>
      </c>
      <c r="X51" s="28">
        <f t="shared" si="3"/>
        <v>5.8673947948207212</v>
      </c>
      <c r="Y51" s="28">
        <f t="shared" si="3"/>
        <v>0.72875869286885331</v>
      </c>
    </row>
    <row r="52" spans="2:25" x14ac:dyDescent="0.25">
      <c r="C52" t="s">
        <v>25</v>
      </c>
      <c r="K52" s="31"/>
      <c r="L52" s="70">
        <v>2315.8609999999999</v>
      </c>
      <c r="M52" s="70">
        <v>4142.4830000000002</v>
      </c>
      <c r="N52" s="25">
        <v>7057.2950000000001</v>
      </c>
      <c r="O52" s="25">
        <v>9723.3770000000004</v>
      </c>
      <c r="P52" s="31"/>
      <c r="Q52" s="25">
        <f t="shared" si="4"/>
        <v>19.185860778409673</v>
      </c>
      <c r="R52" s="25">
        <f t="shared" si="2"/>
        <v>33.658571996498445</v>
      </c>
      <c r="S52" s="25">
        <f t="shared" si="2"/>
        <v>58.161716380727931</v>
      </c>
      <c r="T52" s="25">
        <f t="shared" si="2"/>
        <v>82.230380963201966</v>
      </c>
      <c r="U52" s="31"/>
      <c r="V52" s="25">
        <f t="shared" si="5"/>
        <v>5.9457655203984192</v>
      </c>
      <c r="W52" s="25">
        <f t="shared" si="3"/>
        <v>10.483429211106706</v>
      </c>
      <c r="X52" s="25">
        <f t="shared" si="3"/>
        <v>17.984293230478102</v>
      </c>
      <c r="Y52" s="25">
        <f t="shared" si="3"/>
        <v>26.220440977295116</v>
      </c>
    </row>
    <row r="53" spans="2:25" x14ac:dyDescent="0.25">
      <c r="C53" t="s">
        <v>26</v>
      </c>
      <c r="K53" s="31"/>
      <c r="L53" s="70">
        <v>-117.649</v>
      </c>
      <c r="M53" s="70">
        <v>-331.67500000000001</v>
      </c>
      <c r="N53" s="25">
        <v>-731.76</v>
      </c>
      <c r="O53" s="25">
        <f>-(1157668+9583)/1000</f>
        <v>-1167.251</v>
      </c>
      <c r="P53" s="31"/>
      <c r="Q53" s="25">
        <f t="shared" si="4"/>
        <v>-0.9746687451099697</v>
      </c>
      <c r="R53" s="25">
        <f t="shared" si="2"/>
        <v>-2.6949312446034472</v>
      </c>
      <c r="S53" s="25">
        <f t="shared" si="2"/>
        <v>-6.0306983878046001</v>
      </c>
      <c r="T53" s="25">
        <f t="shared" si="2"/>
        <v>-9.8714154978952742</v>
      </c>
      <c r="U53" s="31"/>
      <c r="V53" s="25">
        <f t="shared" si="5"/>
        <v>-0.30205326127490112</v>
      </c>
      <c r="W53" s="25">
        <f t="shared" si="3"/>
        <v>-0.83937372430829926</v>
      </c>
      <c r="X53" s="25">
        <f t="shared" si="3"/>
        <v>-1.8647635410358583</v>
      </c>
      <c r="Y53" s="25">
        <f t="shared" si="3"/>
        <v>-3.1476549712295121</v>
      </c>
    </row>
    <row r="54" spans="2:25" x14ac:dyDescent="0.25">
      <c r="C54" s="27" t="s">
        <v>27</v>
      </c>
      <c r="D54" s="27"/>
      <c r="E54" s="27"/>
      <c r="F54" s="27"/>
      <c r="G54" s="27"/>
      <c r="H54" s="27"/>
      <c r="I54" s="27"/>
      <c r="J54" s="27"/>
      <c r="K54" s="27"/>
      <c r="L54" s="71">
        <v>2198.212</v>
      </c>
      <c r="M54" s="71">
        <v>3810.808</v>
      </c>
      <c r="N54" s="28">
        <v>6325.5349999999999</v>
      </c>
      <c r="O54" s="28">
        <v>8556.1260000000002</v>
      </c>
      <c r="P54" s="27"/>
      <c r="Q54" s="28">
        <f t="shared" si="4"/>
        <v>18.211192033299703</v>
      </c>
      <c r="R54" s="28">
        <f t="shared" si="2"/>
        <v>30.963640751894999</v>
      </c>
      <c r="S54" s="28">
        <f t="shared" si="2"/>
        <v>52.131017992923326</v>
      </c>
      <c r="T54" s="28">
        <f t="shared" si="2"/>
        <v>72.358965465306696</v>
      </c>
      <c r="U54" s="27"/>
      <c r="V54" s="28">
        <f t="shared" si="5"/>
        <v>5.6437122591235189</v>
      </c>
      <c r="W54" s="28">
        <f t="shared" si="3"/>
        <v>9.6440554867984059</v>
      </c>
      <c r="X54" s="28">
        <f t="shared" si="3"/>
        <v>16.119529689442246</v>
      </c>
      <c r="Y54" s="28">
        <f t="shared" si="3"/>
        <v>23.072786006065602</v>
      </c>
    </row>
    <row r="55" spans="2:25" x14ac:dyDescent="0.25">
      <c r="C55" s="13" t="s">
        <v>105</v>
      </c>
      <c r="D55" s="13"/>
      <c r="E55" s="13"/>
      <c r="F55" s="13"/>
      <c r="G55" s="13"/>
      <c r="H55" s="13"/>
      <c r="I55" s="13"/>
      <c r="J55" s="13"/>
      <c r="K55" s="37"/>
      <c r="L55" s="51">
        <v>120.706650941932</v>
      </c>
      <c r="M55" s="51">
        <v>123.07364080778439</v>
      </c>
      <c r="N55" s="51">
        <v>121.33918046370546</v>
      </c>
      <c r="O55" s="51">
        <v>118.24555457612685</v>
      </c>
      <c r="P55" s="37"/>
      <c r="Q55" s="31"/>
      <c r="R55" s="31"/>
      <c r="S55" s="31"/>
      <c r="T55" s="31"/>
      <c r="U55" s="37"/>
      <c r="V55" s="31"/>
      <c r="W55" s="31"/>
      <c r="X55" s="31"/>
      <c r="Y55" s="31"/>
    </row>
    <row r="56" spans="2:25" x14ac:dyDescent="0.25">
      <c r="C56" s="13" t="s">
        <v>106</v>
      </c>
      <c r="D56" s="13"/>
      <c r="E56" s="13"/>
      <c r="F56" s="13"/>
      <c r="G56" s="13"/>
      <c r="H56" s="13"/>
      <c r="I56" s="13"/>
      <c r="J56" s="13"/>
      <c r="K56" s="37"/>
      <c r="L56" s="33">
        <v>2.5674103585657431</v>
      </c>
      <c r="M56" s="33">
        <v>2.5307114624505895</v>
      </c>
      <c r="N56" s="33">
        <v>2.5483266932270938</v>
      </c>
      <c r="O56" s="33">
        <v>2.6966393442622985</v>
      </c>
      <c r="P56" s="37"/>
      <c r="Q56" s="31"/>
      <c r="R56" s="31"/>
      <c r="S56" s="31"/>
      <c r="T56" s="31"/>
      <c r="U56" s="37"/>
      <c r="V56" s="31"/>
      <c r="W56" s="31"/>
      <c r="X56" s="31"/>
      <c r="Y56" s="31"/>
    </row>
    <row r="57" spans="2:25" x14ac:dyDescent="0.25">
      <c r="L57" s="31"/>
      <c r="M57" s="31"/>
      <c r="N57" s="31"/>
      <c r="O57" s="31"/>
      <c r="P57" s="31"/>
      <c r="Q57" s="31"/>
      <c r="R57" s="31"/>
      <c r="S57" s="31"/>
      <c r="T57" s="31"/>
      <c r="U57" s="31"/>
    </row>
    <row r="58" spans="2:25" x14ac:dyDescent="0.25">
      <c r="B58" s="30" t="s">
        <v>9</v>
      </c>
      <c r="C58" s="27"/>
      <c r="D58" s="27"/>
      <c r="E58" s="27"/>
      <c r="F58" s="27"/>
      <c r="G58" s="27"/>
      <c r="H58" s="27"/>
      <c r="I58" s="27"/>
      <c r="J58" s="27"/>
      <c r="K58" s="27"/>
      <c r="L58" s="53">
        <v>2015</v>
      </c>
      <c r="M58" s="53">
        <v>2016</v>
      </c>
      <c r="N58" s="53">
        <v>2017</v>
      </c>
      <c r="O58" s="53">
        <v>2018</v>
      </c>
      <c r="P58" s="31"/>
      <c r="Q58" s="31"/>
      <c r="R58" s="31"/>
      <c r="S58" s="31"/>
      <c r="T58" s="31"/>
      <c r="U58" s="31"/>
    </row>
    <row r="59" spans="2:25" x14ac:dyDescent="0.25">
      <c r="C59" t="s">
        <v>10</v>
      </c>
      <c r="L59" s="26">
        <f t="shared" ref="L59:M59" si="6">L54/AVERAGE(K41:L41)</f>
        <v>6.2201122788935748E-2</v>
      </c>
      <c r="M59" s="26">
        <f t="shared" si="6"/>
        <v>9.8503769703798261E-2</v>
      </c>
      <c r="N59" s="26">
        <f>N54/AVERAGE(M41:N41)</f>
        <v>0.1550630293223289</v>
      </c>
      <c r="O59" s="26">
        <f>O54/AVERAGE(N41:O41)</f>
        <v>0.19875220483124742</v>
      </c>
      <c r="P59" s="31"/>
      <c r="Q59" s="31"/>
      <c r="R59" s="31"/>
      <c r="S59" s="31"/>
      <c r="T59" s="31"/>
      <c r="U59" s="31"/>
    </row>
    <row r="60" spans="2:25" x14ac:dyDescent="0.25">
      <c r="C60" t="s">
        <v>11</v>
      </c>
      <c r="L60" s="26">
        <f t="shared" ref="L60:M60" si="7">L54/AVERAGE(K$33:L$33)</f>
        <v>9.4893111115244237E-3</v>
      </c>
      <c r="M60" s="26">
        <f t="shared" si="7"/>
        <v>1.585516233929881E-2</v>
      </c>
      <c r="N60" s="26">
        <f>N54/AVERAGE(M$33:N$33)</f>
        <v>2.3450703271503667E-2</v>
      </c>
      <c r="O60" s="26">
        <f>O54/AVERAGE(N$33:O$33)</f>
        <v>2.7543043310522559E-2</v>
      </c>
      <c r="P60" s="31"/>
      <c r="Q60" s="31"/>
      <c r="R60" s="31"/>
      <c r="S60" s="31"/>
      <c r="T60" s="31"/>
      <c r="U60" s="31"/>
    </row>
    <row r="61" spans="2:25" x14ac:dyDescent="0.25">
      <c r="C61" s="27" t="s">
        <v>49</v>
      </c>
      <c r="D61" s="27"/>
      <c r="E61" s="27"/>
      <c r="F61" s="27"/>
      <c r="G61" s="27"/>
      <c r="H61" s="27"/>
      <c r="I61" s="27"/>
      <c r="J61" s="27"/>
      <c r="K61" s="27"/>
      <c r="L61" s="29">
        <f t="shared" ref="L61:M62" si="8">L46/AVERAGE(K$33:L$33)</f>
        <v>5.233594152775569E-2</v>
      </c>
      <c r="M61" s="29">
        <f t="shared" si="8"/>
        <v>4.8459940468500461E-2</v>
      </c>
      <c r="N61" s="29">
        <f>N46/AVERAGE(M$33:N$33)</f>
        <v>4.3682737011101119E-2</v>
      </c>
      <c r="O61" s="29">
        <f>O46/AVERAGE(N$33:O$33)</f>
        <v>5.4263667193372403E-2</v>
      </c>
      <c r="P61" s="31"/>
      <c r="Q61" s="31"/>
      <c r="R61" s="31"/>
      <c r="S61" s="31"/>
      <c r="T61" s="31"/>
      <c r="U61" s="31"/>
    </row>
    <row r="62" spans="2:25" x14ac:dyDescent="0.25">
      <c r="C62" t="s">
        <v>50</v>
      </c>
      <c r="L62" s="26">
        <f t="shared" si="8"/>
        <v>4.6131337828408392E-2</v>
      </c>
      <c r="M62" s="26">
        <f t="shared" si="8"/>
        <v>4.4065034995065311E-2</v>
      </c>
      <c r="N62" s="26">
        <f>N47/AVERAGE(M$33:N$33)</f>
        <v>4.1210752573058146E-2</v>
      </c>
      <c r="O62" s="26">
        <f>O47/AVERAGE(N$33:O$33)</f>
        <v>3.9802047302912556E-2</v>
      </c>
      <c r="P62" s="31"/>
      <c r="Q62" s="31"/>
      <c r="R62" s="31"/>
      <c r="S62" s="31"/>
      <c r="T62" s="31"/>
      <c r="U62" s="31"/>
    </row>
    <row r="63" spans="2:25" x14ac:dyDescent="0.25">
      <c r="C63" t="s">
        <v>51</v>
      </c>
      <c r="L63" s="26">
        <f t="shared" ref="L63:M63" si="9">-L50/L46</f>
        <v>0.56937452969157165</v>
      </c>
      <c r="M63" s="26">
        <f t="shared" si="9"/>
        <v>0.59929725131095701</v>
      </c>
      <c r="N63" s="26">
        <f>-N50/N46</f>
        <v>0.59646135569301684</v>
      </c>
      <c r="O63" s="26">
        <f>-O50/O46</f>
        <v>0.43920873101971897</v>
      </c>
      <c r="P63" s="31"/>
      <c r="Q63" s="31"/>
      <c r="R63" s="31"/>
      <c r="S63" s="31"/>
      <c r="T63" s="31"/>
      <c r="U63" s="31"/>
    </row>
    <row r="64" spans="2:25" x14ac:dyDescent="0.25">
      <c r="C64" s="27" t="s">
        <v>52</v>
      </c>
      <c r="D64" s="27"/>
      <c r="E64" s="27"/>
      <c r="F64" s="27"/>
      <c r="G64" s="27"/>
      <c r="H64" s="27"/>
      <c r="I64" s="27"/>
      <c r="J64" s="27"/>
      <c r="K64" s="27"/>
      <c r="L64" s="29">
        <f t="shared" ref="L64:M65" si="10">-L50/AVERAGE(K$33:L$33)</f>
        <v>2.9798752093331486E-2</v>
      </c>
      <c r="M64" s="29">
        <f t="shared" si="10"/>
        <v>2.904190912146494E-2</v>
      </c>
      <c r="N64" s="29">
        <f>-N50/AVERAGE(M$33:N$33)</f>
        <v>2.6055064538022896E-2</v>
      </c>
      <c r="O64" s="29">
        <f>-O50/AVERAGE(N$33:O$33)</f>
        <v>2.3833076408477448E-2</v>
      </c>
      <c r="P64" s="31"/>
      <c r="Q64" s="31"/>
      <c r="R64" s="31"/>
      <c r="S64" s="31"/>
      <c r="T64" s="31"/>
      <c r="U64" s="31"/>
    </row>
    <row r="65" spans="1:24" x14ac:dyDescent="0.25">
      <c r="C65" t="s">
        <v>53</v>
      </c>
      <c r="L65" s="26">
        <f t="shared" si="10"/>
        <v>1.2540007397365865E-2</v>
      </c>
      <c r="M65" s="26">
        <f t="shared" si="10"/>
        <v>2.1829094377749311E-3</v>
      </c>
      <c r="N65" s="26">
        <f>-N51/AVERAGE(M$33:N$33)</f>
        <v>-8.5358901258903181E-3</v>
      </c>
      <c r="O65" s="26">
        <f>-O51/AVERAGE(N$33:O$33)</f>
        <v>-8.6995268951611858E-4</v>
      </c>
      <c r="P65" s="31"/>
      <c r="Q65" s="31"/>
      <c r="R65" s="31"/>
      <c r="S65" s="31"/>
      <c r="T65" s="31"/>
      <c r="U65" s="31"/>
    </row>
    <row r="66" spans="1:24" x14ac:dyDescent="0.25">
      <c r="C66" t="s">
        <v>54</v>
      </c>
      <c r="L66" s="75">
        <f>L35/L38</f>
        <v>1.1721472892077824</v>
      </c>
      <c r="M66" s="75">
        <f>M35/M38</f>
        <v>1.1865193094833759</v>
      </c>
      <c r="N66" s="75">
        <f>N35/N38</f>
        <v>1.3134178693328431</v>
      </c>
      <c r="O66" s="75">
        <f>O35/O38</f>
        <v>1.3428370741229325</v>
      </c>
      <c r="P66" s="31"/>
      <c r="Q66" s="31"/>
      <c r="R66" s="31"/>
      <c r="S66" s="31"/>
      <c r="T66" s="31"/>
      <c r="U66" s="31"/>
    </row>
    <row r="68" spans="1:24" x14ac:dyDescent="0.25">
      <c r="B68" s="34" t="s">
        <v>5</v>
      </c>
      <c r="C68" s="35"/>
      <c r="D68" s="35"/>
      <c r="E68" s="35"/>
      <c r="F68" s="35"/>
      <c r="G68" s="35"/>
      <c r="H68" s="35"/>
      <c r="I68" s="35"/>
      <c r="J68" s="35"/>
      <c r="K68" s="35"/>
      <c r="L68" s="35"/>
      <c r="M68" s="35"/>
      <c r="N68" s="55">
        <v>2017</v>
      </c>
      <c r="O68" s="55">
        <v>2018</v>
      </c>
    </row>
    <row r="69" spans="1:24" hidden="1" outlineLevel="1" x14ac:dyDescent="0.25">
      <c r="C69" t="s">
        <v>42</v>
      </c>
      <c r="N69" s="45" t="s">
        <v>71</v>
      </c>
      <c r="O69" s="45"/>
    </row>
    <row r="70" spans="1:24" collapsed="1" x14ac:dyDescent="0.25">
      <c r="C70" s="31" t="s">
        <v>6</v>
      </c>
      <c r="D70" s="31"/>
      <c r="E70" s="31"/>
      <c r="F70" s="31"/>
      <c r="G70" s="31"/>
      <c r="H70" s="31"/>
      <c r="I70" s="31"/>
      <c r="J70" s="31"/>
      <c r="K70" s="31"/>
      <c r="L70" s="31"/>
      <c r="M70" s="31"/>
      <c r="N70" s="25">
        <f>1390+36+25</f>
        <v>1451</v>
      </c>
      <c r="O70" s="25">
        <f>1339+39+25</f>
        <v>1403</v>
      </c>
    </row>
    <row r="71" spans="1:24" x14ac:dyDescent="0.25">
      <c r="C71" s="35" t="s">
        <v>7</v>
      </c>
      <c r="D71" s="35"/>
      <c r="E71" s="35"/>
      <c r="F71" s="35"/>
      <c r="G71" s="35"/>
      <c r="H71" s="35"/>
      <c r="I71" s="35"/>
      <c r="J71" s="35"/>
      <c r="K71" s="35"/>
      <c r="L71" s="35"/>
      <c r="M71" s="35"/>
      <c r="N71" s="36">
        <v>96</v>
      </c>
      <c r="O71" s="36">
        <v>96</v>
      </c>
    </row>
    <row r="72" spans="1:24" hidden="1" outlineLevel="1" x14ac:dyDescent="0.25">
      <c r="C72" s="31" t="s">
        <v>43</v>
      </c>
      <c r="D72" s="31"/>
      <c r="E72" s="31"/>
      <c r="F72" s="31"/>
      <c r="G72" s="31"/>
      <c r="H72" s="31"/>
      <c r="I72" s="31"/>
      <c r="J72" s="31"/>
      <c r="K72" s="31"/>
      <c r="L72" s="31"/>
      <c r="M72" s="31"/>
      <c r="N72" s="45" t="s">
        <v>71</v>
      </c>
      <c r="O72" s="55"/>
    </row>
    <row r="73" spans="1:24" collapsed="1" x14ac:dyDescent="0.25">
      <c r="O73" s="45"/>
      <c r="W73" s="183">
        <f ca="1">TODAY()</f>
        <v>44963</v>
      </c>
      <c r="X73" s="183"/>
    </row>
    <row r="74" spans="1:24" x14ac:dyDescent="0.25">
      <c r="A74" s="52" t="s">
        <v>107</v>
      </c>
    </row>
    <row r="75" spans="1:24" x14ac:dyDescent="0.25">
      <c r="A75" s="52" t="s">
        <v>83</v>
      </c>
    </row>
  </sheetData>
  <mergeCells count="5">
    <mergeCell ref="C15:E15"/>
    <mergeCell ref="W73:X73"/>
    <mergeCell ref="L31:O31"/>
    <mergeCell ref="V31:Y31"/>
    <mergeCell ref="Q31:T31"/>
  </mergeCells>
  <hyperlinks>
    <hyperlink ref="J13" r:id="rId1" xr:uid="{00000000-0004-0000-0500-000000000000}"/>
    <hyperlink ref="J29" r:id="rId2" xr:uid="{00000000-0004-0000-0500-000001000000}"/>
    <hyperlink ref="L4" r:id="rId3" xr:uid="{00000000-0004-0000-0500-000002000000}"/>
  </hyperlinks>
  <pageMargins left="0.39370078740157483" right="0.31496062992125984" top="0.39370078740157483" bottom="0.31496062992125984" header="0.31496062992125984" footer="0.31496062992125984"/>
  <pageSetup paperSize="9" scale="67"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74"/>
  <sheetViews>
    <sheetView view="pageBreakPreview" zoomScaleNormal="100" zoomScaleSheetLayoutView="100" workbookViewId="0">
      <pane ySplit="2" topLeftCell="A3" activePane="bottomLeft" state="frozen"/>
      <selection pane="bottomLeft" activeCell="A2" sqref="A2"/>
    </sheetView>
  </sheetViews>
  <sheetFormatPr defaultRowHeight="15" outlineLevelCol="1" x14ac:dyDescent="0.25"/>
  <cols>
    <col min="1" max="12" width="4.42578125" customWidth="1"/>
    <col min="13" max="13" width="5.28515625" hidden="1" customWidth="1" outlineLevel="1"/>
    <col min="14" max="14" width="6.28515625" customWidth="1" collapsed="1"/>
    <col min="15" max="15" width="8.140625" customWidth="1"/>
    <col min="16" max="21" width="6.28515625" customWidth="1"/>
    <col min="22" max="22" width="7.5703125" customWidth="1"/>
  </cols>
  <sheetData>
    <row r="1" spans="1:22" ht="18.75" x14ac:dyDescent="0.3">
      <c r="A1" s="41" t="s">
        <v>66</v>
      </c>
    </row>
    <row r="3" spans="1:22" x14ac:dyDescent="0.25">
      <c r="A3" t="s">
        <v>0</v>
      </c>
      <c r="N3" s="57" t="s">
        <v>85</v>
      </c>
      <c r="T3" s="1"/>
      <c r="U3" s="1"/>
      <c r="V3" s="1"/>
    </row>
    <row r="4" spans="1:22" x14ac:dyDescent="0.25">
      <c r="A4" t="s">
        <v>88</v>
      </c>
      <c r="N4" s="56" t="s">
        <v>89</v>
      </c>
      <c r="O4" s="3"/>
      <c r="Q4" s="3"/>
      <c r="T4" s="3"/>
      <c r="U4" s="3"/>
      <c r="V4" s="3"/>
    </row>
    <row r="6" spans="1:22" x14ac:dyDescent="0.25">
      <c r="A6" t="s">
        <v>1</v>
      </c>
      <c r="N6" s="12" t="s">
        <v>3</v>
      </c>
    </row>
    <row r="7" spans="1:22" x14ac:dyDescent="0.25">
      <c r="A7" t="s">
        <v>2</v>
      </c>
      <c r="N7" t="s">
        <v>90</v>
      </c>
    </row>
    <row r="8" spans="1:22" x14ac:dyDescent="0.25">
      <c r="A8" t="s">
        <v>4</v>
      </c>
      <c r="N8" s="190">
        <v>0.99739999999999995</v>
      </c>
      <c r="O8" s="190"/>
      <c r="P8" s="4"/>
      <c r="Q8" s="4"/>
      <c r="T8" s="4"/>
      <c r="U8" s="4"/>
      <c r="V8" s="4"/>
    </row>
    <row r="9" spans="1:22" x14ac:dyDescent="0.25">
      <c r="A9" t="s">
        <v>84</v>
      </c>
      <c r="N9" s="60" t="s">
        <v>87</v>
      </c>
      <c r="O9" s="60"/>
      <c r="P9" s="4"/>
      <c r="Q9" s="4"/>
      <c r="T9" s="4"/>
      <c r="U9" s="4"/>
      <c r="V9" s="4"/>
    </row>
    <row r="10" spans="1:22" x14ac:dyDescent="0.25">
      <c r="A10" t="s">
        <v>185</v>
      </c>
      <c r="N10" s="57" t="s">
        <v>186</v>
      </c>
    </row>
    <row r="12" spans="1:22" x14ac:dyDescent="0.25">
      <c r="A12" s="2" t="s">
        <v>181</v>
      </c>
    </row>
    <row r="13" spans="1:22" x14ac:dyDescent="0.25">
      <c r="A13" t="s">
        <v>44</v>
      </c>
      <c r="J13" s="23" t="s">
        <v>40</v>
      </c>
    </row>
    <row r="14" spans="1:22" x14ac:dyDescent="0.25">
      <c r="N14" s="5"/>
    </row>
    <row r="15" spans="1:22" ht="15" customHeight="1" x14ac:dyDescent="0.25">
      <c r="A15" s="2"/>
      <c r="B15" s="8" t="s">
        <v>48</v>
      </c>
      <c r="C15" s="187" t="s">
        <v>30</v>
      </c>
      <c r="D15" s="187"/>
      <c r="E15" s="187"/>
      <c r="F15" s="8"/>
      <c r="G15" s="8"/>
      <c r="H15" s="8"/>
      <c r="I15" s="8"/>
      <c r="J15" s="8"/>
      <c r="K15" s="21"/>
      <c r="L15" s="21"/>
      <c r="M15" s="8"/>
      <c r="N15" s="9"/>
      <c r="O15" s="14" t="s">
        <v>12</v>
      </c>
      <c r="R15" s="40" t="s">
        <v>45</v>
      </c>
    </row>
    <row r="16" spans="1:22" x14ac:dyDescent="0.25">
      <c r="A16" s="2"/>
      <c r="B16" s="18">
        <v>1</v>
      </c>
      <c r="C16" s="19" t="s">
        <v>63</v>
      </c>
      <c r="D16" s="19"/>
      <c r="E16" s="19"/>
      <c r="F16" s="19"/>
      <c r="G16" s="19"/>
      <c r="H16" s="19"/>
      <c r="I16" s="19"/>
      <c r="J16" s="19"/>
      <c r="K16" s="19"/>
      <c r="L16" s="19"/>
      <c r="M16" s="19"/>
      <c r="N16" s="19"/>
      <c r="O16" s="20">
        <f>+O18+O23</f>
        <v>21501.366000000002</v>
      </c>
      <c r="P16" s="20"/>
      <c r="Q16" s="20"/>
      <c r="R16" s="38">
        <f>+R18+R23</f>
        <v>0.19863310857407976</v>
      </c>
    </row>
    <row r="17" spans="1:21" x14ac:dyDescent="0.25">
      <c r="A17" s="2"/>
      <c r="B17" s="11">
        <v>1</v>
      </c>
      <c r="C17" t="s">
        <v>59</v>
      </c>
      <c r="O17" s="7">
        <v>20144.382000000001</v>
      </c>
      <c r="R17" s="22">
        <v>0.18609707015655369</v>
      </c>
      <c r="U17" s="3"/>
    </row>
    <row r="18" spans="1:21" x14ac:dyDescent="0.25">
      <c r="A18" s="2"/>
      <c r="B18" s="15">
        <v>2</v>
      </c>
      <c r="C18" s="16" t="s">
        <v>58</v>
      </c>
      <c r="D18" s="16"/>
      <c r="E18" s="16"/>
      <c r="F18" s="16"/>
      <c r="G18" s="16"/>
      <c r="H18" s="16"/>
      <c r="I18" s="16"/>
      <c r="J18" s="16"/>
      <c r="K18" s="16"/>
      <c r="L18" s="16"/>
      <c r="M18" s="16"/>
      <c r="N18" s="16"/>
      <c r="O18" s="17">
        <v>15110.409</v>
      </c>
      <c r="P18" s="17"/>
      <c r="Q18" s="17"/>
      <c r="R18" s="39">
        <v>0.13959241061687672</v>
      </c>
    </row>
    <row r="19" spans="1:21" x14ac:dyDescent="0.25">
      <c r="A19" s="2"/>
      <c r="B19" s="11">
        <v>3</v>
      </c>
      <c r="C19" t="s">
        <v>33</v>
      </c>
      <c r="O19" s="7">
        <v>11585.98</v>
      </c>
      <c r="R19" s="22">
        <v>0.10703316353375486</v>
      </c>
    </row>
    <row r="20" spans="1:21" x14ac:dyDescent="0.25">
      <c r="A20" s="2"/>
      <c r="B20" s="11">
        <v>4</v>
      </c>
      <c r="C20" t="s">
        <v>31</v>
      </c>
      <c r="O20" s="7">
        <v>9321.5560000000005</v>
      </c>
      <c r="R20" s="22">
        <v>8.6114047127394816E-2</v>
      </c>
    </row>
    <row r="21" spans="1:21" x14ac:dyDescent="0.25">
      <c r="A21" s="2"/>
      <c r="B21" s="11">
        <v>5</v>
      </c>
      <c r="C21" t="s">
        <v>60</v>
      </c>
      <c r="O21" s="7">
        <v>8525.8379999999997</v>
      </c>
      <c r="R21" s="22">
        <v>7.8763075105973038E-2</v>
      </c>
    </row>
    <row r="22" spans="1:21" x14ac:dyDescent="0.25">
      <c r="A22" s="2"/>
      <c r="B22" s="11">
        <v>6</v>
      </c>
      <c r="C22" t="s">
        <v>61</v>
      </c>
      <c r="O22" s="7">
        <v>7907.4139999999998</v>
      </c>
      <c r="R22" s="22">
        <v>7.304997382967196E-2</v>
      </c>
    </row>
    <row r="23" spans="1:21" x14ac:dyDescent="0.25">
      <c r="A23" s="2"/>
      <c r="B23" s="15">
        <v>7</v>
      </c>
      <c r="C23" s="16" t="s">
        <v>62</v>
      </c>
      <c r="D23" s="16"/>
      <c r="E23" s="16"/>
      <c r="F23" s="16"/>
      <c r="G23" s="16"/>
      <c r="H23" s="16"/>
      <c r="I23" s="16"/>
      <c r="J23" s="16"/>
      <c r="K23" s="16"/>
      <c r="L23" s="16"/>
      <c r="M23" s="16"/>
      <c r="N23" s="16"/>
      <c r="O23" s="17">
        <v>6390.9570000000003</v>
      </c>
      <c r="P23" s="17"/>
      <c r="Q23" s="17"/>
      <c r="R23" s="39">
        <v>5.9040697957203049E-2</v>
      </c>
    </row>
    <row r="24" spans="1:21" x14ac:dyDescent="0.25">
      <c r="A24" s="2"/>
      <c r="B24" s="11">
        <v>8</v>
      </c>
      <c r="C24" t="s">
        <v>32</v>
      </c>
      <c r="O24" s="7">
        <v>5726.8630000000003</v>
      </c>
      <c r="R24" s="22">
        <v>5.2905689809097718E-2</v>
      </c>
    </row>
    <row r="26" spans="1:21" x14ac:dyDescent="0.25">
      <c r="A26" s="2" t="s">
        <v>80</v>
      </c>
    </row>
    <row r="27" spans="1:21" x14ac:dyDescent="0.25">
      <c r="A27" s="24" t="s">
        <v>64</v>
      </c>
    </row>
    <row r="28" spans="1:21" x14ac:dyDescent="0.25">
      <c r="A28" s="24" t="s">
        <v>65</v>
      </c>
      <c r="J28" s="5" t="s">
        <v>39</v>
      </c>
    </row>
    <row r="29" spans="1:21" x14ac:dyDescent="0.25">
      <c r="N29" s="5"/>
    </row>
    <row r="30" spans="1:21" x14ac:dyDescent="0.25">
      <c r="L30" s="31"/>
      <c r="M30" s="31"/>
      <c r="N30" s="181" t="s">
        <v>46</v>
      </c>
      <c r="O30" s="181"/>
      <c r="P30" s="181"/>
      <c r="Q30" s="31"/>
      <c r="R30" s="181" t="s">
        <v>47</v>
      </c>
      <c r="S30" s="181"/>
      <c r="T30" s="181"/>
    </row>
    <row r="31" spans="1:21" x14ac:dyDescent="0.25">
      <c r="B31" s="30" t="s">
        <v>81</v>
      </c>
      <c r="C31" s="27"/>
      <c r="D31" s="27"/>
      <c r="E31" s="27"/>
      <c r="F31" s="27"/>
      <c r="G31" s="27"/>
      <c r="H31" s="27"/>
      <c r="I31" s="27"/>
      <c r="J31" s="27"/>
      <c r="K31" s="27"/>
      <c r="L31" s="27"/>
      <c r="M31" s="30">
        <v>2014</v>
      </c>
      <c r="N31" s="53">
        <v>2015</v>
      </c>
      <c r="O31" s="53">
        <v>2016</v>
      </c>
      <c r="P31" s="53">
        <v>2017</v>
      </c>
      <c r="Q31" s="54"/>
      <c r="R31" s="53">
        <v>2015</v>
      </c>
      <c r="S31" s="53">
        <v>2016</v>
      </c>
      <c r="T31" s="53">
        <v>2017</v>
      </c>
    </row>
    <row r="32" spans="1:21" x14ac:dyDescent="0.25">
      <c r="C32" t="s">
        <v>12</v>
      </c>
      <c r="L32" s="31"/>
      <c r="M32" s="25">
        <v>4865.9949999999999</v>
      </c>
      <c r="N32" s="25">
        <v>5755.2169999999996</v>
      </c>
      <c r="O32" s="25">
        <v>6348.9660000000003</v>
      </c>
      <c r="P32" s="25">
        <v>6996.26</v>
      </c>
      <c r="Q32" s="31"/>
      <c r="R32" s="25">
        <f>+N32/N$43</f>
        <v>2942.6408630739338</v>
      </c>
      <c r="S32" s="25">
        <f t="shared" ref="S32" si="0">+O32/O$43</f>
        <v>3246.2245628387363</v>
      </c>
      <c r="T32" s="25">
        <f>+P32/P$43</f>
        <v>3577.1858063196646</v>
      </c>
    </row>
    <row r="33" spans="2:20" x14ac:dyDescent="0.25">
      <c r="C33" t="s">
        <v>13</v>
      </c>
      <c r="L33" s="31"/>
      <c r="M33" s="31"/>
      <c r="N33" s="25">
        <v>1929.0319999999999</v>
      </c>
      <c r="O33" s="25">
        <v>2183.0050000000001</v>
      </c>
      <c r="P33" s="25">
        <v>2448.364</v>
      </c>
      <c r="Q33" s="31"/>
      <c r="R33" s="25">
        <f t="shared" ref="R33:R42" si="1">+N33/N$43</f>
        <v>986.31352899069429</v>
      </c>
      <c r="S33" s="25">
        <f t="shared" ref="S33:S42" si="2">+O33/O$43</f>
        <v>1116.1698537682789</v>
      </c>
      <c r="T33" s="25">
        <f t="shared" ref="T33:T42" si="3">+P33/P$43</f>
        <v>1251.847837202168</v>
      </c>
    </row>
    <row r="34" spans="2:20" x14ac:dyDescent="0.25">
      <c r="C34" s="27" t="s">
        <v>14</v>
      </c>
      <c r="D34" s="27"/>
      <c r="E34" s="27"/>
      <c r="F34" s="27"/>
      <c r="G34" s="27"/>
      <c r="H34" s="27"/>
      <c r="I34" s="27"/>
      <c r="J34" s="27"/>
      <c r="K34" s="27"/>
      <c r="L34" s="27"/>
      <c r="M34" s="27"/>
      <c r="N34" s="28">
        <v>3742.9679999999998</v>
      </c>
      <c r="O34" s="28">
        <v>4081.4270000000001</v>
      </c>
      <c r="P34" s="28">
        <v>4439.6899999999996</v>
      </c>
      <c r="Q34" s="27"/>
      <c r="R34" s="28">
        <f t="shared" si="1"/>
        <v>1913.7785049596073</v>
      </c>
      <c r="S34" s="28">
        <f t="shared" si="2"/>
        <v>2086.8324982104509</v>
      </c>
      <c r="T34" s="28">
        <f t="shared" si="3"/>
        <v>2270.0122711933732</v>
      </c>
    </row>
    <row r="35" spans="2:20" x14ac:dyDescent="0.25">
      <c r="D35" t="s">
        <v>15</v>
      </c>
      <c r="L35" s="31"/>
      <c r="M35" s="31"/>
      <c r="N35" s="25">
        <v>1153.7059999999999</v>
      </c>
      <c r="O35" s="25">
        <v>1308.518</v>
      </c>
      <c r="P35" s="25">
        <v>1432.3779999999999</v>
      </c>
      <c r="Q35" s="31"/>
      <c r="R35" s="25">
        <f t="shared" si="1"/>
        <v>589.88955925963796</v>
      </c>
      <c r="S35" s="25">
        <f t="shared" si="2"/>
        <v>669.04489211575833</v>
      </c>
      <c r="T35" s="25">
        <f t="shared" si="3"/>
        <v>732.374475917783</v>
      </c>
    </row>
    <row r="36" spans="2:20" x14ac:dyDescent="0.25">
      <c r="D36" t="s">
        <v>16</v>
      </c>
      <c r="L36" s="31"/>
      <c r="M36" s="31"/>
      <c r="N36" s="25">
        <v>2096.2240000000002</v>
      </c>
      <c r="O36" s="25">
        <v>2138.73</v>
      </c>
      <c r="P36" s="25">
        <v>2238.6909999999998</v>
      </c>
      <c r="Q36" s="31"/>
      <c r="R36" s="25">
        <f t="shared" si="1"/>
        <v>1071.7987524286739</v>
      </c>
      <c r="S36" s="25">
        <f t="shared" si="2"/>
        <v>1093.5320584926885</v>
      </c>
      <c r="T36" s="25">
        <f t="shared" si="3"/>
        <v>1144.6420901932713</v>
      </c>
    </row>
    <row r="37" spans="2:20" x14ac:dyDescent="0.25">
      <c r="C37" s="27"/>
      <c r="D37" s="27" t="s">
        <v>28</v>
      </c>
      <c r="E37" s="27"/>
      <c r="F37" s="27"/>
      <c r="G37" s="27"/>
      <c r="H37" s="27"/>
      <c r="I37" s="27"/>
      <c r="J37" s="27"/>
      <c r="K37" s="27"/>
      <c r="L37" s="27"/>
      <c r="M37" s="27"/>
      <c r="N37" s="28">
        <v>402.69400000000002</v>
      </c>
      <c r="O37" s="28">
        <v>528.27700000000004</v>
      </c>
      <c r="P37" s="28">
        <v>645.09799999999996</v>
      </c>
      <c r="Q37" s="27"/>
      <c r="R37" s="28">
        <f t="shared" si="1"/>
        <v>205.89733101544127</v>
      </c>
      <c r="S37" s="28">
        <f t="shared" si="2"/>
        <v>270.10788424174251</v>
      </c>
      <c r="T37" s="28">
        <f t="shared" si="3"/>
        <v>329.83842928724818</v>
      </c>
    </row>
    <row r="38" spans="2:20" x14ac:dyDescent="0.25">
      <c r="D38" t="s">
        <v>29</v>
      </c>
      <c r="L38" s="31"/>
      <c r="M38" s="31"/>
      <c r="N38" s="25">
        <v>90.343999999999994</v>
      </c>
      <c r="O38" s="25">
        <v>105.902</v>
      </c>
      <c r="P38" s="25">
        <v>123.523</v>
      </c>
      <c r="Q38" s="31"/>
      <c r="R38" s="25">
        <f t="shared" si="1"/>
        <v>46.192862255854379</v>
      </c>
      <c r="S38" s="25">
        <f t="shared" si="2"/>
        <v>54.147663360261788</v>
      </c>
      <c r="T38" s="25">
        <f t="shared" si="3"/>
        <v>63.157275795071072</v>
      </c>
    </row>
    <row r="39" spans="2:20" x14ac:dyDescent="0.25">
      <c r="C39" t="s">
        <v>17</v>
      </c>
      <c r="L39" s="31"/>
      <c r="M39" s="31"/>
      <c r="N39" s="25">
        <v>4325.2089999999998</v>
      </c>
      <c r="O39" s="25">
        <v>4817.2340000000004</v>
      </c>
      <c r="P39" s="25">
        <v>5219.0649999999996</v>
      </c>
      <c r="Q39" s="31"/>
      <c r="R39" s="25">
        <f t="shared" si="1"/>
        <v>2211.4781675017894</v>
      </c>
      <c r="S39" s="25">
        <f t="shared" si="2"/>
        <v>2463.0504141527767</v>
      </c>
      <c r="T39" s="25">
        <f t="shared" si="3"/>
        <v>2668.5064935064934</v>
      </c>
    </row>
    <row r="40" spans="2:20" x14ac:dyDescent="0.25">
      <c r="C40" s="27"/>
      <c r="D40" s="27" t="s">
        <v>15</v>
      </c>
      <c r="E40" s="27"/>
      <c r="F40" s="27"/>
      <c r="G40" s="27"/>
      <c r="H40" s="27"/>
      <c r="I40" s="27"/>
      <c r="J40" s="27"/>
      <c r="K40" s="27"/>
      <c r="L40" s="27"/>
      <c r="M40" s="27"/>
      <c r="N40" s="28">
        <v>2913.31</v>
      </c>
      <c r="O40" s="28">
        <v>3102.681</v>
      </c>
      <c r="P40" s="28">
        <v>3294.835</v>
      </c>
      <c r="Q40" s="27"/>
      <c r="R40" s="28">
        <f t="shared" si="1"/>
        <v>1489.5745986297168</v>
      </c>
      <c r="S40" s="28">
        <f t="shared" si="2"/>
        <v>1586.3999386440332</v>
      </c>
      <c r="T40" s="28">
        <f t="shared" si="3"/>
        <v>1684.6482257899581</v>
      </c>
    </row>
    <row r="41" spans="2:20" x14ac:dyDescent="0.25">
      <c r="D41" t="s">
        <v>16</v>
      </c>
      <c r="L41" s="31"/>
      <c r="M41" s="31"/>
      <c r="N41" s="25">
        <v>1411.8989999999999</v>
      </c>
      <c r="O41" s="25">
        <v>1714.5530000000001</v>
      </c>
      <c r="P41" s="25">
        <v>1924.23</v>
      </c>
      <c r="Q41" s="31"/>
      <c r="R41" s="25">
        <f t="shared" si="1"/>
        <v>721.90356887207281</v>
      </c>
      <c r="S41" s="25">
        <f t="shared" si="2"/>
        <v>876.65047550874328</v>
      </c>
      <c r="T41" s="25">
        <f t="shared" si="3"/>
        <v>983.85826771653547</v>
      </c>
    </row>
    <row r="42" spans="2:20" x14ac:dyDescent="0.25">
      <c r="C42" t="s">
        <v>18</v>
      </c>
      <c r="L42" s="31"/>
      <c r="M42" s="31">
        <v>543.78800000000001</v>
      </c>
      <c r="N42" s="25">
        <v>614.447</v>
      </c>
      <c r="O42" s="25">
        <v>703.28599999999994</v>
      </c>
      <c r="P42" s="25">
        <v>791.39599999999996</v>
      </c>
      <c r="Q42" s="31"/>
      <c r="R42" s="25">
        <f t="shared" si="1"/>
        <v>314.16658145004601</v>
      </c>
      <c r="S42" s="25">
        <f t="shared" si="2"/>
        <v>359.58993762143365</v>
      </c>
      <c r="T42" s="25">
        <f t="shared" si="3"/>
        <v>404.64055629409961</v>
      </c>
    </row>
    <row r="43" spans="2:20" x14ac:dyDescent="0.25">
      <c r="C43" s="13" t="s">
        <v>38</v>
      </c>
      <c r="D43" s="13"/>
      <c r="E43" s="13"/>
      <c r="F43" s="13"/>
      <c r="G43" s="13"/>
      <c r="H43" s="13"/>
      <c r="I43" s="13"/>
      <c r="J43" s="13"/>
      <c r="K43" s="13"/>
      <c r="L43" s="37"/>
      <c r="M43" s="37"/>
      <c r="N43" s="32">
        <v>1.9558</v>
      </c>
      <c r="O43" s="32">
        <v>1.9558</v>
      </c>
      <c r="P43" s="32">
        <v>1.9558</v>
      </c>
      <c r="Q43" s="31"/>
      <c r="R43" s="32"/>
      <c r="S43" s="32"/>
      <c r="T43" s="32"/>
    </row>
    <row r="44" spans="2:20" x14ac:dyDescent="0.25">
      <c r="L44" s="31"/>
      <c r="M44" s="31"/>
      <c r="N44" s="31"/>
      <c r="O44" s="31"/>
      <c r="P44" s="31"/>
      <c r="Q44" s="31"/>
      <c r="R44" s="31"/>
      <c r="S44" s="31"/>
      <c r="T44" s="31"/>
    </row>
    <row r="45" spans="2:20" x14ac:dyDescent="0.25">
      <c r="B45" s="30" t="s">
        <v>8</v>
      </c>
      <c r="C45" s="27"/>
      <c r="D45" s="27"/>
      <c r="E45" s="27"/>
      <c r="F45" s="27"/>
      <c r="G45" s="27"/>
      <c r="H45" s="27"/>
      <c r="I45" s="27"/>
      <c r="J45" s="27"/>
      <c r="K45" s="27"/>
      <c r="L45" s="27"/>
      <c r="M45" s="27"/>
      <c r="N45" s="53">
        <v>2015</v>
      </c>
      <c r="O45" s="53">
        <v>2016</v>
      </c>
      <c r="P45" s="53">
        <v>2017</v>
      </c>
      <c r="Q45" s="54"/>
      <c r="R45" s="53">
        <v>2015</v>
      </c>
      <c r="S45" s="53">
        <v>2016</v>
      </c>
      <c r="T45" s="53">
        <v>2017</v>
      </c>
    </row>
    <row r="46" spans="2:20" x14ac:dyDescent="0.25">
      <c r="C46" t="s">
        <v>19</v>
      </c>
      <c r="L46" s="31"/>
      <c r="M46" s="31"/>
      <c r="N46" s="25">
        <v>219.08699999999999</v>
      </c>
      <c r="O46" s="25">
        <v>243.59700000000001</v>
      </c>
      <c r="P46" s="25">
        <v>264.61700000000002</v>
      </c>
      <c r="Q46" s="31"/>
      <c r="R46" s="25">
        <f>+N46/N$55</f>
        <v>112.01912260967379</v>
      </c>
      <c r="S46" s="25">
        <f t="shared" ref="S46:S54" si="4">+O46/O$55</f>
        <v>124.55107884241743</v>
      </c>
      <c r="T46" s="25">
        <f t="shared" ref="T46:T54" si="5">+P46/P$55</f>
        <v>135.29859903875652</v>
      </c>
    </row>
    <row r="47" spans="2:20" x14ac:dyDescent="0.25">
      <c r="D47" t="s">
        <v>20</v>
      </c>
      <c r="L47" s="31"/>
      <c r="M47" s="31"/>
      <c r="N47" s="25">
        <v>153.79900000000001</v>
      </c>
      <c r="O47" s="25">
        <v>167.64400000000001</v>
      </c>
      <c r="P47" s="25">
        <v>177.572</v>
      </c>
      <c r="Q47" s="31"/>
      <c r="R47" s="25">
        <f t="shared" ref="R47:R54" si="6">+N47/N$55</f>
        <v>78.637386235811434</v>
      </c>
      <c r="S47" s="25">
        <f t="shared" si="4"/>
        <v>85.716330913181309</v>
      </c>
      <c r="T47" s="25">
        <f t="shared" si="5"/>
        <v>90.792514572042137</v>
      </c>
    </row>
    <row r="48" spans="2:20" x14ac:dyDescent="0.25">
      <c r="C48" s="27"/>
      <c r="D48" s="27" t="s">
        <v>21</v>
      </c>
      <c r="E48" s="27"/>
      <c r="F48" s="27"/>
      <c r="G48" s="27"/>
      <c r="H48" s="27"/>
      <c r="I48" s="27"/>
      <c r="J48" s="27"/>
      <c r="K48" s="27"/>
      <c r="L48" s="27"/>
      <c r="M48" s="27"/>
      <c r="N48" s="28">
        <v>47.811</v>
      </c>
      <c r="O48" s="28">
        <v>52.795000000000002</v>
      </c>
      <c r="P48" s="28">
        <v>58.74</v>
      </c>
      <c r="Q48" s="27"/>
      <c r="R48" s="28">
        <f t="shared" si="6"/>
        <v>24.445751099294405</v>
      </c>
      <c r="S48" s="28">
        <f t="shared" si="4"/>
        <v>26.994068923202782</v>
      </c>
      <c r="T48" s="28">
        <f t="shared" si="5"/>
        <v>30.033745781777281</v>
      </c>
    </row>
    <row r="49" spans="2:20" x14ac:dyDescent="0.25">
      <c r="D49" t="s">
        <v>22</v>
      </c>
      <c r="L49" s="31"/>
      <c r="M49" s="31"/>
      <c r="N49" s="25">
        <v>17.476999999999983</v>
      </c>
      <c r="O49" s="25">
        <v>23.158000000000001</v>
      </c>
      <c r="P49" s="25">
        <v>28.305000000000014</v>
      </c>
      <c r="Q49" s="31"/>
      <c r="R49" s="25">
        <f t="shared" si="6"/>
        <v>8.9359852745679422</v>
      </c>
      <c r="S49" s="25">
        <f t="shared" si="4"/>
        <v>11.840679006033337</v>
      </c>
      <c r="T49" s="25">
        <f t="shared" si="5"/>
        <v>14.472338684937117</v>
      </c>
    </row>
    <row r="50" spans="2:20" x14ac:dyDescent="0.25">
      <c r="C50" t="s">
        <v>23</v>
      </c>
      <c r="L50" s="31"/>
      <c r="M50" s="31"/>
      <c r="N50" s="25">
        <v>-108.416</v>
      </c>
      <c r="O50" s="25">
        <v>-106.883</v>
      </c>
      <c r="P50" s="25">
        <v>-110.26300000000001</v>
      </c>
      <c r="Q50" s="31"/>
      <c r="R50" s="25">
        <f t="shared" si="6"/>
        <v>-55.433070866141733</v>
      </c>
      <c r="S50" s="25">
        <f t="shared" si="4"/>
        <v>-54.649248389405869</v>
      </c>
      <c r="T50" s="25">
        <f t="shared" si="5"/>
        <v>-56.377441456181614</v>
      </c>
    </row>
    <row r="51" spans="2:20" x14ac:dyDescent="0.25">
      <c r="C51" s="27" t="s">
        <v>24</v>
      </c>
      <c r="D51" s="27"/>
      <c r="E51" s="27"/>
      <c r="F51" s="27"/>
      <c r="G51" s="27"/>
      <c r="H51" s="27"/>
      <c r="I51" s="27"/>
      <c r="J51" s="27"/>
      <c r="K51" s="27"/>
      <c r="L51" s="27"/>
      <c r="M51" s="27"/>
      <c r="N51" s="28">
        <v>-26.385000000000002</v>
      </c>
      <c r="O51" s="28">
        <v>-32.76</v>
      </c>
      <c r="P51" s="28">
        <v>-33.954000000000001</v>
      </c>
      <c r="Q51" s="27"/>
      <c r="R51" s="28">
        <f t="shared" si="6"/>
        <v>-13.490643215052664</v>
      </c>
      <c r="S51" s="28">
        <f t="shared" si="4"/>
        <v>-16.750178954903362</v>
      </c>
      <c r="T51" s="28">
        <f t="shared" si="5"/>
        <v>-17.360670825237754</v>
      </c>
    </row>
    <row r="52" spans="2:20" x14ac:dyDescent="0.25">
      <c r="C52" t="s">
        <v>25</v>
      </c>
      <c r="L52" s="31"/>
      <c r="M52" s="31"/>
      <c r="N52" s="25">
        <v>83.716999999999999</v>
      </c>
      <c r="O52" s="25">
        <v>103.673</v>
      </c>
      <c r="P52" s="25">
        <v>121.599</v>
      </c>
      <c r="Q52" s="31"/>
      <c r="R52" s="25">
        <f t="shared" si="6"/>
        <v>42.804478985581348</v>
      </c>
      <c r="S52" s="25">
        <f t="shared" si="4"/>
        <v>53.007976275692812</v>
      </c>
      <c r="T52" s="25">
        <f t="shared" si="5"/>
        <v>62.173535126291036</v>
      </c>
    </row>
    <row r="53" spans="2:20" x14ac:dyDescent="0.25">
      <c r="C53" t="s">
        <v>26</v>
      </c>
      <c r="L53" s="31"/>
      <c r="M53" s="31"/>
      <c r="N53" s="25">
        <v>-8.7590000000000003</v>
      </c>
      <c r="O53" s="25">
        <v>-10.855</v>
      </c>
      <c r="P53" s="25">
        <v>-12.125</v>
      </c>
      <c r="Q53" s="31"/>
      <c r="R53" s="25">
        <f t="shared" si="6"/>
        <v>-4.4784742816238881</v>
      </c>
      <c r="S53" s="25">
        <f t="shared" si="4"/>
        <v>-5.5501585029144085</v>
      </c>
      <c r="T53" s="25">
        <f t="shared" si="5"/>
        <v>-6.1995091522650574</v>
      </c>
    </row>
    <row r="54" spans="2:20" x14ac:dyDescent="0.25">
      <c r="C54" s="27" t="s">
        <v>27</v>
      </c>
      <c r="D54" s="27"/>
      <c r="E54" s="27"/>
      <c r="F54" s="27"/>
      <c r="G54" s="27"/>
      <c r="H54" s="27"/>
      <c r="I54" s="27"/>
      <c r="J54" s="27"/>
      <c r="K54" s="27"/>
      <c r="L54" s="27"/>
      <c r="M54" s="27"/>
      <c r="N54" s="28">
        <v>74.957999999999998</v>
      </c>
      <c r="O54" s="28">
        <v>92.817999999999998</v>
      </c>
      <c r="P54" s="28">
        <v>109.474</v>
      </c>
      <c r="Q54" s="27"/>
      <c r="R54" s="28">
        <f t="shared" si="6"/>
        <v>38.326004703957459</v>
      </c>
      <c r="S54" s="28">
        <f t="shared" si="4"/>
        <v>47.457817772778405</v>
      </c>
      <c r="T54" s="28">
        <f t="shared" si="5"/>
        <v>55.974025974025977</v>
      </c>
    </row>
    <row r="55" spans="2:20" x14ac:dyDescent="0.25">
      <c r="C55" s="13" t="s">
        <v>41</v>
      </c>
      <c r="D55" s="13"/>
      <c r="E55" s="13"/>
      <c r="F55" s="13"/>
      <c r="G55" s="13"/>
      <c r="H55" s="13"/>
      <c r="I55" s="13"/>
      <c r="J55" s="13"/>
      <c r="K55" s="13"/>
      <c r="L55" s="37"/>
      <c r="M55" s="37"/>
      <c r="N55" s="33">
        <v>1.9558</v>
      </c>
      <c r="O55" s="33">
        <v>1.9558</v>
      </c>
      <c r="P55" s="33">
        <v>1.9558</v>
      </c>
      <c r="Q55" s="37"/>
      <c r="R55" s="31"/>
      <c r="S55" s="31"/>
      <c r="T55" s="31"/>
    </row>
    <row r="56" spans="2:20" x14ac:dyDescent="0.25">
      <c r="N56" s="31"/>
      <c r="O56" s="31"/>
      <c r="P56" s="31"/>
      <c r="Q56" s="31"/>
      <c r="R56" s="31"/>
      <c r="S56" s="31"/>
      <c r="T56" s="31"/>
    </row>
    <row r="57" spans="2:20" x14ac:dyDescent="0.25">
      <c r="B57" s="30" t="s">
        <v>9</v>
      </c>
      <c r="C57" s="27"/>
      <c r="D57" s="27"/>
      <c r="E57" s="27"/>
      <c r="F57" s="27"/>
      <c r="G57" s="27"/>
      <c r="H57" s="27"/>
      <c r="I57" s="27"/>
      <c r="J57" s="27"/>
      <c r="K57" s="27"/>
      <c r="L57" s="27"/>
      <c r="M57" s="27"/>
      <c r="N57" s="53">
        <v>2015</v>
      </c>
      <c r="O57" s="53">
        <v>2016</v>
      </c>
      <c r="P57" s="53">
        <v>2017</v>
      </c>
      <c r="Q57" s="31"/>
      <c r="R57" s="31"/>
      <c r="S57" s="31"/>
      <c r="T57" s="31"/>
    </row>
    <row r="58" spans="2:20" x14ac:dyDescent="0.25">
      <c r="C58" t="s">
        <v>10</v>
      </c>
      <c r="N58" s="26">
        <f>N54/AVERAGE(M42:N42)</f>
        <v>0.12943487288848979</v>
      </c>
      <c r="O58" s="26">
        <f>O54/AVERAGE(N42:O42)</f>
        <v>0.14087527594740362</v>
      </c>
      <c r="P58" s="26">
        <f>P54/AVERAGE(O42:P42)</f>
        <v>0.14648467031783352</v>
      </c>
      <c r="Q58" s="31"/>
      <c r="R58" s="31"/>
      <c r="S58" s="31"/>
      <c r="T58" s="31"/>
    </row>
    <row r="59" spans="2:20" x14ac:dyDescent="0.25">
      <c r="C59" t="s">
        <v>11</v>
      </c>
      <c r="N59" s="26">
        <f>N54/AVERAGE(M$32:N$32)</f>
        <v>1.4114773342251337E-2</v>
      </c>
      <c r="O59" s="26">
        <f>O54/AVERAGE(N$32:O$32)</f>
        <v>1.5336516310105356E-2</v>
      </c>
      <c r="P59" s="26">
        <f>P54/AVERAGE(O$32:P$32)</f>
        <v>1.6406466252426147E-2</v>
      </c>
      <c r="Q59" s="31"/>
      <c r="R59" s="31"/>
      <c r="S59" s="31"/>
      <c r="T59" s="31"/>
    </row>
    <row r="60" spans="2:20" x14ac:dyDescent="0.25">
      <c r="C60" s="27" t="s">
        <v>49</v>
      </c>
      <c r="D60" s="27"/>
      <c r="E60" s="27"/>
      <c r="F60" s="27"/>
      <c r="G60" s="27"/>
      <c r="H60" s="27"/>
      <c r="I60" s="27"/>
      <c r="J60" s="27"/>
      <c r="K60" s="27"/>
      <c r="L60" s="27"/>
      <c r="M60" s="27"/>
      <c r="N60" s="29">
        <f t="shared" ref="N60:P61" si="7">N46/AVERAGE(M$32:N$32)</f>
        <v>4.1254613880223841E-2</v>
      </c>
      <c r="O60" s="29">
        <f t="shared" si="7"/>
        <v>4.0250052399240822E-2</v>
      </c>
      <c r="P60" s="29">
        <f t="shared" si="7"/>
        <v>3.9657177780278878E-2</v>
      </c>
      <c r="Q60" s="31"/>
      <c r="R60" s="31"/>
      <c r="S60" s="31"/>
      <c r="T60" s="31"/>
    </row>
    <row r="61" spans="2:20" x14ac:dyDescent="0.25">
      <c r="C61" t="s">
        <v>50</v>
      </c>
      <c r="N61" s="26">
        <f t="shared" si="7"/>
        <v>2.896072500953752E-2</v>
      </c>
      <c r="O61" s="26">
        <f t="shared" si="7"/>
        <v>2.7700176046578276E-2</v>
      </c>
      <c r="P61" s="26">
        <f t="shared" si="7"/>
        <v>2.6612063370077058E-2</v>
      </c>
      <c r="Q61" s="31"/>
      <c r="R61" s="31"/>
      <c r="S61" s="31"/>
      <c r="T61" s="31"/>
    </row>
    <row r="62" spans="2:20" x14ac:dyDescent="0.25">
      <c r="C62" t="s">
        <v>51</v>
      </c>
      <c r="N62" s="26">
        <f>-N50/N46</f>
        <v>0.49485364261685999</v>
      </c>
      <c r="O62" s="26">
        <f t="shared" ref="O62" si="8">-O50/O46</f>
        <v>0.43876977138470502</v>
      </c>
      <c r="P62" s="26">
        <f>-P50/P46</f>
        <v>0.4166890260262946</v>
      </c>
      <c r="Q62" s="31"/>
      <c r="R62" s="31"/>
      <c r="S62" s="31"/>
      <c r="T62" s="31"/>
    </row>
    <row r="63" spans="2:20" x14ac:dyDescent="0.25">
      <c r="C63" s="27" t="s">
        <v>52</v>
      </c>
      <c r="D63" s="27"/>
      <c r="E63" s="27"/>
      <c r="F63" s="27"/>
      <c r="G63" s="27"/>
      <c r="H63" s="27"/>
      <c r="I63" s="27"/>
      <c r="J63" s="27"/>
      <c r="K63" s="27"/>
      <c r="L63" s="27"/>
      <c r="M63" s="27"/>
      <c r="N63" s="29">
        <f t="shared" ref="N63:P64" si="9">-N50/AVERAGE(M$32:N$32)</f>
        <v>2.0414995953380838E-2</v>
      </c>
      <c r="O63" s="29">
        <f t="shared" si="9"/>
        <v>1.7660506289437293E-2</v>
      </c>
      <c r="P63" s="29">
        <f t="shared" si="9"/>
        <v>1.652471078421602E-2</v>
      </c>
      <c r="Q63" s="31"/>
      <c r="R63" s="31"/>
      <c r="S63" s="31"/>
      <c r="T63" s="31"/>
    </row>
    <row r="64" spans="2:20" x14ac:dyDescent="0.25">
      <c r="C64" t="s">
        <v>53</v>
      </c>
      <c r="N64" s="26">
        <f t="shared" si="9"/>
        <v>4.9683595431481839E-3</v>
      </c>
      <c r="O64" s="26">
        <f t="shared" si="9"/>
        <v>5.413004743897212E-3</v>
      </c>
      <c r="P64" s="26">
        <f t="shared" si="9"/>
        <v>5.0885612577861172E-3</v>
      </c>
      <c r="Q64" s="31"/>
      <c r="R64" s="31"/>
      <c r="S64" s="31"/>
      <c r="T64" s="31"/>
    </row>
    <row r="65" spans="1:22" x14ac:dyDescent="0.25">
      <c r="C65" t="s">
        <v>54</v>
      </c>
      <c r="N65" s="26">
        <f>N34/N39</f>
        <v>0.86538430859641691</v>
      </c>
      <c r="O65" s="26">
        <f t="shared" ref="O65:P65" si="10">O34/O39</f>
        <v>0.84725529214482831</v>
      </c>
      <c r="P65" s="26">
        <f t="shared" si="10"/>
        <v>0.85066769622528171</v>
      </c>
      <c r="Q65" s="31"/>
      <c r="R65" s="31"/>
      <c r="S65" s="31"/>
      <c r="T65" s="31"/>
    </row>
    <row r="67" spans="1:22" x14ac:dyDescent="0.25">
      <c r="B67" s="34" t="s">
        <v>5</v>
      </c>
      <c r="C67" s="35"/>
      <c r="D67" s="35"/>
      <c r="E67" s="35"/>
      <c r="F67" s="35"/>
      <c r="G67" s="35"/>
      <c r="H67" s="35"/>
      <c r="I67" s="35"/>
      <c r="J67" s="35"/>
      <c r="K67" s="35"/>
      <c r="L67" s="35"/>
      <c r="M67" s="35"/>
      <c r="N67" s="35"/>
      <c r="O67" s="35"/>
      <c r="P67" s="55">
        <v>2017</v>
      </c>
    </row>
    <row r="68" spans="1:22" x14ac:dyDescent="0.25">
      <c r="C68" t="s">
        <v>42</v>
      </c>
      <c r="P68" s="25">
        <v>529</v>
      </c>
    </row>
    <row r="69" spans="1:22" x14ac:dyDescent="0.25">
      <c r="C69" s="31" t="s">
        <v>6</v>
      </c>
      <c r="D69" s="31"/>
      <c r="E69" s="31"/>
      <c r="F69" s="31"/>
      <c r="G69" s="31"/>
      <c r="H69" s="31"/>
      <c r="I69" s="31"/>
      <c r="J69" s="31"/>
      <c r="K69" s="31"/>
      <c r="L69" s="31"/>
      <c r="M69" s="31"/>
      <c r="N69" s="31"/>
      <c r="O69" s="31"/>
      <c r="P69" s="25">
        <v>1621</v>
      </c>
    </row>
    <row r="70" spans="1:22" x14ac:dyDescent="0.25">
      <c r="C70" s="35" t="s">
        <v>7</v>
      </c>
      <c r="D70" s="35"/>
      <c r="E70" s="35"/>
      <c r="F70" s="35"/>
      <c r="G70" s="35"/>
      <c r="H70" s="35"/>
      <c r="I70" s="35"/>
      <c r="J70" s="35"/>
      <c r="K70" s="35"/>
      <c r="L70" s="35"/>
      <c r="M70" s="35"/>
      <c r="N70" s="35"/>
      <c r="O70" s="35"/>
      <c r="P70" s="36">
        <v>151</v>
      </c>
    </row>
    <row r="71" spans="1:22" x14ac:dyDescent="0.25">
      <c r="C71" s="31" t="s">
        <v>43</v>
      </c>
      <c r="D71" s="31"/>
      <c r="E71" s="31"/>
      <c r="F71" s="31"/>
      <c r="G71" s="31"/>
      <c r="H71" s="31"/>
      <c r="I71" s="31"/>
      <c r="J71" s="31"/>
      <c r="K71" s="31"/>
      <c r="L71" s="31"/>
      <c r="M71" s="31"/>
      <c r="N71" s="31"/>
      <c r="O71" s="31"/>
      <c r="P71" s="25">
        <v>426</v>
      </c>
    </row>
    <row r="72" spans="1:22" x14ac:dyDescent="0.25">
      <c r="V72" s="59" t="s">
        <v>85</v>
      </c>
    </row>
    <row r="73" spans="1:22" x14ac:dyDescent="0.25">
      <c r="A73" s="52" t="s">
        <v>82</v>
      </c>
    </row>
    <row r="74" spans="1:22" x14ac:dyDescent="0.25">
      <c r="A74" s="52" t="s">
        <v>83</v>
      </c>
    </row>
  </sheetData>
  <mergeCells count="4">
    <mergeCell ref="N30:P30"/>
    <mergeCell ref="R30:T30"/>
    <mergeCell ref="N8:O8"/>
    <mergeCell ref="C15:E15"/>
  </mergeCells>
  <hyperlinks>
    <hyperlink ref="J28" r:id="rId1" xr:uid="{00000000-0004-0000-0600-000000000000}"/>
    <hyperlink ref="J13" r:id="rId2" xr:uid="{00000000-0004-0000-0600-000001000000}"/>
    <hyperlink ref="N4" r:id="rId3" xr:uid="{00000000-0004-0000-0600-000002000000}"/>
  </hyperlinks>
  <pageMargins left="0.39370078740157483" right="0.31496062992125984" top="0.38" bottom="0.31496062992125984" header="0.31496062992125984" footer="0.31496062992125984"/>
  <pageSetup paperSize="9" scale="73" orientation="portrait" r:id="rId4"/>
  <ignoredErrors>
    <ignoredError sqref="N58:P61 N63:P64" formulaRange="1"/>
  </ignoredError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73"/>
  <sheetViews>
    <sheetView view="pageBreakPreview" zoomScaleNormal="100" zoomScaleSheetLayoutView="100" workbookViewId="0">
      <pane ySplit="2" topLeftCell="A3" activePane="bottomLeft" state="frozen"/>
      <selection pane="bottomLeft" activeCell="A2" sqref="A2"/>
    </sheetView>
  </sheetViews>
  <sheetFormatPr defaultRowHeight="15" outlineLevelRow="1" outlineLevelCol="1" x14ac:dyDescent="0.25"/>
  <cols>
    <col min="1" max="12" width="4.42578125" customWidth="1"/>
    <col min="13" max="13" width="6.28515625" hidden="1" customWidth="1" outlineLevel="1"/>
    <col min="14" max="14" width="6.28515625" customWidth="1" collapsed="1"/>
    <col min="15" max="15" width="11" bestFit="1" customWidth="1"/>
    <col min="16" max="21" width="6.28515625" customWidth="1"/>
    <col min="22" max="22" width="7.5703125" customWidth="1"/>
  </cols>
  <sheetData>
    <row r="1" spans="1:22" ht="18.75" x14ac:dyDescent="0.3">
      <c r="A1" s="41" t="s">
        <v>55</v>
      </c>
    </row>
    <row r="3" spans="1:22" x14ac:dyDescent="0.25">
      <c r="A3" t="s">
        <v>0</v>
      </c>
      <c r="N3" s="57" t="s">
        <v>85</v>
      </c>
      <c r="T3" s="1"/>
      <c r="U3" s="1"/>
      <c r="V3" s="1"/>
    </row>
    <row r="4" spans="1:22" x14ac:dyDescent="0.25">
      <c r="A4" t="s">
        <v>88</v>
      </c>
      <c r="N4" s="56" t="s">
        <v>89</v>
      </c>
      <c r="O4" s="3"/>
      <c r="Q4" s="3"/>
      <c r="T4" s="3"/>
      <c r="U4" s="3"/>
      <c r="V4" s="3"/>
    </row>
    <row r="6" spans="1:22" x14ac:dyDescent="0.25">
      <c r="A6" t="s">
        <v>1</v>
      </c>
      <c r="N6" s="12" t="s">
        <v>56</v>
      </c>
    </row>
    <row r="7" spans="1:22" x14ac:dyDescent="0.25">
      <c r="A7" t="s">
        <v>2</v>
      </c>
      <c r="N7" t="s">
        <v>57</v>
      </c>
    </row>
    <row r="8" spans="1:22" x14ac:dyDescent="0.25">
      <c r="A8" t="s">
        <v>4</v>
      </c>
      <c r="N8" s="190">
        <v>0.88890000000000002</v>
      </c>
      <c r="O8" s="190"/>
      <c r="P8" s="4"/>
      <c r="Q8" s="4"/>
      <c r="T8" s="4"/>
      <c r="U8" s="4"/>
      <c r="V8" s="4"/>
    </row>
    <row r="9" spans="1:22" x14ac:dyDescent="0.25">
      <c r="A9" t="s">
        <v>84</v>
      </c>
      <c r="N9" s="60" t="s">
        <v>87</v>
      </c>
      <c r="O9" s="60"/>
      <c r="P9" s="4"/>
      <c r="Q9" s="4"/>
      <c r="T9" s="4"/>
      <c r="U9" s="4"/>
      <c r="V9" s="4"/>
    </row>
    <row r="10" spans="1:22" x14ac:dyDescent="0.25">
      <c r="A10" t="s">
        <v>185</v>
      </c>
      <c r="N10" s="57" t="s">
        <v>184</v>
      </c>
    </row>
    <row r="12" spans="1:22" x14ac:dyDescent="0.25">
      <c r="A12" s="43" t="s">
        <v>182</v>
      </c>
    </row>
    <row r="13" spans="1:22" x14ac:dyDescent="0.25">
      <c r="A13" s="44" t="s">
        <v>72</v>
      </c>
      <c r="J13" s="56" t="s">
        <v>73</v>
      </c>
    </row>
    <row r="14" spans="1:22" x14ac:dyDescent="0.25">
      <c r="N14" s="5"/>
    </row>
    <row r="15" spans="1:22" ht="15" customHeight="1" x14ac:dyDescent="0.25">
      <c r="A15" s="2"/>
      <c r="B15" s="8" t="s">
        <v>48</v>
      </c>
      <c r="C15" s="187" t="s">
        <v>30</v>
      </c>
      <c r="D15" s="187"/>
      <c r="E15" s="187"/>
      <c r="F15" s="8"/>
      <c r="G15" s="8"/>
      <c r="H15" s="8"/>
      <c r="I15" s="8"/>
      <c r="J15" s="8"/>
      <c r="K15" s="21"/>
      <c r="L15" s="21"/>
      <c r="M15" s="8"/>
      <c r="N15" s="9"/>
      <c r="O15" s="14" t="s">
        <v>12</v>
      </c>
      <c r="R15" s="40" t="s">
        <v>45</v>
      </c>
    </row>
    <row r="16" spans="1:22" x14ac:dyDescent="0.25">
      <c r="A16" s="2"/>
      <c r="B16" s="42">
        <v>1</v>
      </c>
      <c r="C16" t="s">
        <v>74</v>
      </c>
      <c r="D16" s="12"/>
      <c r="E16" s="12"/>
      <c r="F16" s="12"/>
      <c r="G16" s="12"/>
      <c r="H16" s="12"/>
      <c r="I16" s="12"/>
      <c r="J16" s="12"/>
      <c r="K16" s="12"/>
      <c r="L16" s="12"/>
      <c r="M16" s="12"/>
      <c r="N16" s="12"/>
      <c r="O16" s="81">
        <v>424.91526079622406</v>
      </c>
      <c r="P16" s="6"/>
      <c r="Q16" s="6"/>
      <c r="R16" s="22">
        <v>0.30813331000372535</v>
      </c>
    </row>
    <row r="17" spans="1:20" x14ac:dyDescent="0.25">
      <c r="A17" s="2"/>
      <c r="B17" s="42">
        <v>2</v>
      </c>
      <c r="C17" t="s">
        <v>75</v>
      </c>
      <c r="D17" s="12"/>
      <c r="E17" s="12"/>
      <c r="F17" s="12"/>
      <c r="G17" s="12"/>
      <c r="H17" s="12"/>
      <c r="I17" s="12"/>
      <c r="J17" s="12"/>
      <c r="K17" s="12"/>
      <c r="L17" s="12"/>
      <c r="M17" s="12"/>
      <c r="N17" s="12"/>
      <c r="O17" s="81">
        <v>222.85133868650112</v>
      </c>
      <c r="P17" s="12"/>
      <c r="Q17" s="12"/>
      <c r="R17" s="22">
        <v>0.16160379954243115</v>
      </c>
    </row>
    <row r="18" spans="1:20" x14ac:dyDescent="0.25">
      <c r="A18" s="2"/>
      <c r="B18" s="42">
        <v>3</v>
      </c>
      <c r="C18" t="s">
        <v>76</v>
      </c>
      <c r="D18" s="12"/>
      <c r="E18" s="12"/>
      <c r="F18" s="12"/>
      <c r="G18" s="12"/>
      <c r="H18" s="12"/>
      <c r="I18" s="12"/>
      <c r="J18" s="12"/>
      <c r="K18" s="12"/>
      <c r="L18" s="12"/>
      <c r="M18" s="12"/>
      <c r="N18" s="12"/>
      <c r="O18" s="81">
        <v>193.84157896240899</v>
      </c>
      <c r="P18" s="6"/>
      <c r="Q18" s="6"/>
      <c r="R18" s="22">
        <v>0.14056696205759422</v>
      </c>
    </row>
    <row r="19" spans="1:20" x14ac:dyDescent="0.25">
      <c r="A19" s="2"/>
      <c r="B19" s="42">
        <v>4</v>
      </c>
      <c r="C19" t="s">
        <v>78</v>
      </c>
      <c r="D19" s="12"/>
      <c r="E19" s="12"/>
      <c r="F19" s="12"/>
      <c r="G19" s="12"/>
      <c r="H19" s="12"/>
      <c r="I19" s="12"/>
      <c r="J19" s="12"/>
      <c r="K19" s="12"/>
      <c r="L19" s="12"/>
      <c r="M19" s="12"/>
      <c r="N19" s="12"/>
      <c r="O19" s="81">
        <v>177.7100699766298</v>
      </c>
      <c r="P19" s="12"/>
      <c r="Q19" s="12"/>
      <c r="R19" s="22">
        <v>0.12886897020428031</v>
      </c>
    </row>
    <row r="20" spans="1:20" x14ac:dyDescent="0.25">
      <c r="A20" s="2"/>
      <c r="B20" s="18">
        <v>5</v>
      </c>
      <c r="C20" s="19" t="s">
        <v>34</v>
      </c>
      <c r="D20" s="19"/>
      <c r="E20" s="19"/>
      <c r="F20" s="19"/>
      <c r="G20" s="19"/>
      <c r="H20" s="19"/>
      <c r="I20" s="19"/>
      <c r="J20" s="19"/>
      <c r="K20" s="19"/>
      <c r="L20" s="19"/>
      <c r="M20" s="19"/>
      <c r="N20" s="19"/>
      <c r="O20" s="101">
        <v>82.207143223518443</v>
      </c>
      <c r="P20" s="19"/>
      <c r="Q20" s="19"/>
      <c r="R20" s="38">
        <v>5.9613672382458613E-2</v>
      </c>
    </row>
    <row r="21" spans="1:20" x14ac:dyDescent="0.25">
      <c r="A21" s="2"/>
      <c r="B21" s="42">
        <v>6</v>
      </c>
      <c r="C21" t="s">
        <v>35</v>
      </c>
      <c r="D21" s="12"/>
      <c r="E21" s="12"/>
      <c r="F21" s="12"/>
      <c r="G21" s="12"/>
      <c r="H21" s="12"/>
      <c r="I21" s="12"/>
      <c r="J21" s="12"/>
      <c r="K21" s="12"/>
      <c r="L21" s="12"/>
      <c r="M21" s="12"/>
      <c r="N21" s="12"/>
      <c r="O21" s="81">
        <v>77.381085261999999</v>
      </c>
      <c r="P21" s="12"/>
      <c r="Q21" s="12"/>
      <c r="R21" s="22">
        <v>5.6113988207392787E-2</v>
      </c>
    </row>
    <row r="22" spans="1:20" x14ac:dyDescent="0.25">
      <c r="A22" s="2"/>
      <c r="B22" s="42">
        <v>7</v>
      </c>
      <c r="C22" t="s">
        <v>36</v>
      </c>
      <c r="D22" s="12"/>
      <c r="E22" s="12"/>
      <c r="F22" s="12"/>
      <c r="G22" s="12"/>
      <c r="H22" s="12"/>
      <c r="I22" s="12"/>
      <c r="J22" s="12"/>
      <c r="K22" s="12"/>
      <c r="L22" s="12"/>
      <c r="M22" s="12"/>
      <c r="N22" s="12"/>
      <c r="O22" s="81">
        <v>73.296889055250006</v>
      </c>
      <c r="P22" s="12"/>
      <c r="Q22" s="12"/>
      <c r="R22" s="22">
        <v>5.3152275574308377E-2</v>
      </c>
    </row>
    <row r="23" spans="1:20" x14ac:dyDescent="0.25">
      <c r="A23" s="2"/>
      <c r="B23" s="42">
        <v>8</v>
      </c>
      <c r="C23" t="s">
        <v>77</v>
      </c>
      <c r="D23" s="42"/>
      <c r="E23" s="42"/>
      <c r="F23" s="42"/>
      <c r="G23" s="42"/>
      <c r="H23" s="42"/>
      <c r="I23" s="42"/>
      <c r="J23" s="42"/>
      <c r="K23" s="42"/>
      <c r="L23" s="42"/>
      <c r="M23" s="42"/>
      <c r="N23" s="42"/>
      <c r="O23" s="81">
        <v>51.374186128795039</v>
      </c>
      <c r="P23" s="42"/>
      <c r="Q23" s="6"/>
      <c r="R23" s="22">
        <v>3.7254717542857807E-2</v>
      </c>
    </row>
    <row r="25" spans="1:20" x14ac:dyDescent="0.25">
      <c r="A25" s="2" t="s">
        <v>70</v>
      </c>
    </row>
    <row r="26" spans="1:20" x14ac:dyDescent="0.25">
      <c r="A26" s="58" t="s">
        <v>86</v>
      </c>
      <c r="J26" s="46" t="s">
        <v>79</v>
      </c>
    </row>
    <row r="27" spans="1:20" x14ac:dyDescent="0.25">
      <c r="N27" s="5"/>
    </row>
    <row r="28" spans="1:20" x14ac:dyDescent="0.25">
      <c r="L28" s="31"/>
      <c r="M28" s="31"/>
      <c r="N28" s="181" t="s">
        <v>67</v>
      </c>
      <c r="O28" s="181"/>
      <c r="P28" s="181"/>
      <c r="Q28" s="31"/>
      <c r="R28" s="181" t="s">
        <v>47</v>
      </c>
      <c r="S28" s="181"/>
      <c r="T28" s="181"/>
    </row>
    <row r="29" spans="1:20" x14ac:dyDescent="0.25">
      <c r="B29" s="30" t="s">
        <v>81</v>
      </c>
      <c r="C29" s="27"/>
      <c r="D29" s="27"/>
      <c r="E29" s="27"/>
      <c r="F29" s="27"/>
      <c r="G29" s="27"/>
      <c r="H29" s="27"/>
      <c r="I29" s="27"/>
      <c r="J29" s="27"/>
      <c r="K29" s="27"/>
      <c r="L29" s="27"/>
      <c r="M29" s="30">
        <v>2014</v>
      </c>
      <c r="N29" s="53">
        <v>2015</v>
      </c>
      <c r="O29" s="53">
        <v>2016</v>
      </c>
      <c r="P29" s="53">
        <v>2017</v>
      </c>
      <c r="Q29" s="54"/>
      <c r="R29" s="53">
        <v>2015</v>
      </c>
      <c r="S29" s="53">
        <v>2016</v>
      </c>
      <c r="T29" s="53">
        <v>2017</v>
      </c>
    </row>
    <row r="30" spans="1:20" x14ac:dyDescent="0.25">
      <c r="C30" t="s">
        <v>12</v>
      </c>
      <c r="L30" s="31"/>
      <c r="M30" s="25">
        <v>71527.267999999996</v>
      </c>
      <c r="N30" s="25">
        <v>73277.801999999996</v>
      </c>
      <c r="O30" s="25">
        <v>81221.919999999998</v>
      </c>
      <c r="P30" s="25">
        <v>81419.103000000003</v>
      </c>
      <c r="Q30" s="31"/>
      <c r="R30" s="25">
        <v>539.11830657844655</v>
      </c>
      <c r="S30" s="25">
        <v>598.65811666672505</v>
      </c>
      <c r="T30" s="25">
        <v>613.06533198740624</v>
      </c>
    </row>
    <row r="31" spans="1:20" x14ac:dyDescent="0.25">
      <c r="C31" t="s">
        <v>13</v>
      </c>
      <c r="L31" s="31"/>
      <c r="M31" s="31"/>
      <c r="N31" s="25">
        <v>29897.3</v>
      </c>
      <c r="O31" s="25">
        <v>34130.9</v>
      </c>
      <c r="P31" s="25">
        <v>31707.899999999998</v>
      </c>
      <c r="Q31" s="31"/>
      <c r="R31" s="25">
        <v>219.95995113592232</v>
      </c>
      <c r="S31" s="25">
        <v>251.56682228320048</v>
      </c>
      <c r="T31" s="25">
        <v>238.75249817138709</v>
      </c>
    </row>
    <row r="32" spans="1:20" x14ac:dyDescent="0.25">
      <c r="C32" s="27" t="s">
        <v>14</v>
      </c>
      <c r="D32" s="27"/>
      <c r="E32" s="27"/>
      <c r="F32" s="27"/>
      <c r="G32" s="27"/>
      <c r="H32" s="27"/>
      <c r="I32" s="27"/>
      <c r="J32" s="27"/>
      <c r="K32" s="27"/>
      <c r="L32" s="27"/>
      <c r="M32" s="27"/>
      <c r="N32" s="28">
        <v>41129.436000000002</v>
      </c>
      <c r="O32" s="28">
        <v>45449.757000000005</v>
      </c>
      <c r="P32" s="28">
        <v>48548.964</v>
      </c>
      <c r="Q32" s="27"/>
      <c r="R32" s="28">
        <v>302.59684763533983</v>
      </c>
      <c r="S32" s="28">
        <v>334.99412385942497</v>
      </c>
      <c r="T32" s="28">
        <v>365.5614669729859</v>
      </c>
    </row>
    <row r="33" spans="2:20" x14ac:dyDescent="0.25">
      <c r="D33" t="s">
        <v>15</v>
      </c>
      <c r="L33" s="31"/>
      <c r="M33" s="31"/>
      <c r="N33" s="25">
        <v>14069.382999999998</v>
      </c>
      <c r="O33" s="25">
        <v>16019.741</v>
      </c>
      <c r="P33" s="25">
        <v>14801.851999999999</v>
      </c>
      <c r="Q33" s="31"/>
      <c r="R33" s="25">
        <v>103.51104605407765</v>
      </c>
      <c r="S33" s="25">
        <v>118.07585903594398</v>
      </c>
      <c r="T33" s="25">
        <v>111.45421622255471</v>
      </c>
    </row>
    <row r="34" spans="2:20" x14ac:dyDescent="0.25">
      <c r="D34" t="s">
        <v>16</v>
      </c>
      <c r="L34" s="31"/>
      <c r="M34" s="31"/>
      <c r="N34" s="25">
        <v>26320.3</v>
      </c>
      <c r="O34" s="25">
        <v>28625.3</v>
      </c>
      <c r="P34" s="25">
        <v>32582.5</v>
      </c>
      <c r="Q34" s="31"/>
      <c r="R34" s="25">
        <v>193.64330230097087</v>
      </c>
      <c r="S34" s="25">
        <v>210.98698709683302</v>
      </c>
      <c r="T34" s="25">
        <v>245.33801581527698</v>
      </c>
    </row>
    <row r="35" spans="2:20" x14ac:dyDescent="0.25">
      <c r="C35" s="27"/>
      <c r="D35" s="27" t="s">
        <v>28</v>
      </c>
      <c r="E35" s="27"/>
      <c r="F35" s="27"/>
      <c r="G35" s="27"/>
      <c r="H35" s="27"/>
      <c r="I35" s="27"/>
      <c r="J35" s="27"/>
      <c r="K35" s="27"/>
      <c r="L35" s="27"/>
      <c r="M35" s="27"/>
      <c r="N35" s="28">
        <v>592.50400000000002</v>
      </c>
      <c r="O35" s="28">
        <v>688.226</v>
      </c>
      <c r="P35" s="28">
        <v>1029.8779999999999</v>
      </c>
      <c r="Q35" s="27"/>
      <c r="R35" s="28">
        <v>4.3591612248543692</v>
      </c>
      <c r="S35" s="28">
        <v>5.0726710351229514</v>
      </c>
      <c r="T35" s="28">
        <v>7.7547218614841036</v>
      </c>
    </row>
    <row r="36" spans="2:20" x14ac:dyDescent="0.25">
      <c r="D36" t="s">
        <v>69</v>
      </c>
      <c r="L36" s="31"/>
      <c r="M36" s="31"/>
      <c r="N36" s="25">
        <v>147.19999999999999</v>
      </c>
      <c r="O36" s="25">
        <v>116.4</v>
      </c>
      <c r="P36" s="25">
        <v>134.80000000000001</v>
      </c>
      <c r="Q36" s="31"/>
      <c r="R36" s="25">
        <v>1.0829775533980581</v>
      </c>
      <c r="S36" s="25">
        <v>0.85794333327760286</v>
      </c>
      <c r="T36" s="25">
        <v>1.0150100370413362</v>
      </c>
    </row>
    <row r="37" spans="2:20" x14ac:dyDescent="0.25">
      <c r="C37" t="s">
        <v>17</v>
      </c>
      <c r="L37" s="31"/>
      <c r="M37" s="31"/>
      <c r="N37" s="25">
        <v>59496.584999999999</v>
      </c>
      <c r="O37" s="25">
        <v>64199.73</v>
      </c>
      <c r="P37" s="25">
        <v>68196.426999999996</v>
      </c>
      <c r="Q37" s="31"/>
      <c r="R37" s="25">
        <v>437.72735094320387</v>
      </c>
      <c r="S37" s="25">
        <v>473.19355972269864</v>
      </c>
      <c r="T37" s="25">
        <v>513.50191317030249</v>
      </c>
    </row>
    <row r="38" spans="2:20" x14ac:dyDescent="0.25">
      <c r="C38" s="27"/>
      <c r="D38" s="27" t="s">
        <v>15</v>
      </c>
      <c r="E38" s="27"/>
      <c r="F38" s="27"/>
      <c r="G38" s="27"/>
      <c r="H38" s="27"/>
      <c r="I38" s="27"/>
      <c r="J38" s="27"/>
      <c r="K38" s="27"/>
      <c r="L38" s="27"/>
      <c r="M38" s="27"/>
      <c r="N38" s="28">
        <v>50506.503000000004</v>
      </c>
      <c r="O38" s="28">
        <v>52542.33</v>
      </c>
      <c r="P38" s="28">
        <v>54649.5</v>
      </c>
      <c r="Q38" s="27"/>
      <c r="R38" s="28">
        <v>371.58565930456314</v>
      </c>
      <c r="S38" s="28">
        <v>387.27097713377827</v>
      </c>
      <c r="T38" s="28">
        <v>411.49696601847552</v>
      </c>
    </row>
    <row r="39" spans="2:20" x14ac:dyDescent="0.25">
      <c r="D39" t="s">
        <v>16</v>
      </c>
      <c r="L39" s="31"/>
      <c r="M39" s="31"/>
      <c r="N39" s="25">
        <v>8599.9819999999945</v>
      </c>
      <c r="O39" s="25">
        <v>11425.100000000002</v>
      </c>
      <c r="P39" s="25">
        <v>13383.426999999996</v>
      </c>
      <c r="Q39" s="31"/>
      <c r="R39" s="25">
        <v>63.271653978446565</v>
      </c>
      <c r="S39" s="25">
        <v>84.210381245961699</v>
      </c>
      <c r="T39" s="25">
        <v>100.77383334577162</v>
      </c>
    </row>
    <row r="40" spans="2:20" x14ac:dyDescent="0.25">
      <c r="D40" t="s">
        <v>69</v>
      </c>
      <c r="L40" s="31"/>
      <c r="M40" s="31"/>
      <c r="N40" s="25">
        <v>390.1</v>
      </c>
      <c r="O40" s="25">
        <v>232.3</v>
      </c>
      <c r="P40" s="25">
        <v>163.5</v>
      </c>
      <c r="Q40" s="31"/>
      <c r="R40" s="25">
        <v>2.8700376601941748</v>
      </c>
      <c r="S40" s="25">
        <v>1.7122013429586525</v>
      </c>
      <c r="T40" s="25">
        <v>1.2311138060553299</v>
      </c>
    </row>
    <row r="41" spans="2:20" x14ac:dyDescent="0.25">
      <c r="C41" s="27" t="s">
        <v>18</v>
      </c>
      <c r="D41" s="27"/>
      <c r="E41" s="27"/>
      <c r="F41" s="27"/>
      <c r="G41" s="27"/>
      <c r="H41" s="27"/>
      <c r="I41" s="27"/>
      <c r="J41" s="27"/>
      <c r="K41" s="27"/>
      <c r="L41" s="27"/>
      <c r="M41" s="27">
        <v>8182.93</v>
      </c>
      <c r="N41" s="28">
        <v>8479.6869999999999</v>
      </c>
      <c r="O41" s="28">
        <v>8879.4470000000001</v>
      </c>
      <c r="P41" s="28">
        <v>8976.1219999999994</v>
      </c>
      <c r="Q41" s="27"/>
      <c r="R41" s="28">
        <v>62.3866214731068</v>
      </c>
      <c r="S41" s="28">
        <v>65.447271106888408</v>
      </c>
      <c r="T41" s="28">
        <v>67.587937119492224</v>
      </c>
    </row>
    <row r="42" spans="2:20" x14ac:dyDescent="0.25">
      <c r="C42" s="13" t="s">
        <v>37</v>
      </c>
      <c r="D42" s="13"/>
      <c r="E42" s="13"/>
      <c r="F42" s="13"/>
      <c r="G42" s="13"/>
      <c r="H42" s="13"/>
      <c r="I42" s="13"/>
      <c r="J42" s="13"/>
      <c r="K42" s="13"/>
      <c r="L42" s="37"/>
      <c r="M42" s="37"/>
      <c r="N42" s="50">
        <v>135.92156138244104</v>
      </c>
      <c r="O42" s="50">
        <v>135.67329622495791</v>
      </c>
      <c r="P42" s="50">
        <v>132.80656848766736</v>
      </c>
      <c r="Q42" s="31"/>
      <c r="R42" s="32"/>
      <c r="S42" s="32"/>
      <c r="T42" s="32"/>
    </row>
    <row r="43" spans="2:20" x14ac:dyDescent="0.25">
      <c r="L43" s="31"/>
      <c r="M43" s="31"/>
      <c r="N43" s="31"/>
      <c r="O43" s="31"/>
      <c r="P43" s="31"/>
      <c r="Q43" s="31"/>
      <c r="R43" s="31"/>
      <c r="S43" s="31"/>
      <c r="T43" s="49"/>
    </row>
    <row r="44" spans="2:20" x14ac:dyDescent="0.25">
      <c r="B44" s="30" t="s">
        <v>8</v>
      </c>
      <c r="C44" s="27"/>
      <c r="D44" s="27"/>
      <c r="E44" s="27"/>
      <c r="F44" s="27"/>
      <c r="G44" s="27"/>
      <c r="H44" s="27"/>
      <c r="I44" s="27"/>
      <c r="J44" s="27"/>
      <c r="K44" s="27"/>
      <c r="L44" s="27"/>
      <c r="M44" s="27"/>
      <c r="N44" s="53">
        <v>2015</v>
      </c>
      <c r="O44" s="53">
        <v>2016</v>
      </c>
      <c r="P44" s="53">
        <v>2017</v>
      </c>
      <c r="Q44" s="54"/>
      <c r="R44" s="53">
        <v>2015</v>
      </c>
      <c r="S44" s="53">
        <v>2016</v>
      </c>
      <c r="T44" s="53">
        <v>2017</v>
      </c>
    </row>
    <row r="45" spans="2:20" x14ac:dyDescent="0.25">
      <c r="C45" t="s">
        <v>19</v>
      </c>
      <c r="L45" s="31"/>
      <c r="M45" s="31"/>
      <c r="N45" s="25">
        <v>3248.8210000000004</v>
      </c>
      <c r="O45" s="25">
        <v>3259.5059999999999</v>
      </c>
      <c r="P45" s="25">
        <v>3305.337</v>
      </c>
      <c r="Q45" s="31"/>
      <c r="R45" s="47">
        <v>23.240186174143503</v>
      </c>
      <c r="S45" s="47">
        <v>23.732158919123226</v>
      </c>
      <c r="T45" s="47">
        <v>24.635999663229629</v>
      </c>
    </row>
    <row r="46" spans="2:20" x14ac:dyDescent="0.25">
      <c r="D46" t="s">
        <v>20</v>
      </c>
      <c r="L46" s="31"/>
      <c r="M46" s="31"/>
      <c r="N46" s="25">
        <v>2842.1190000000001</v>
      </c>
      <c r="O46" s="25">
        <v>2842.0419999999999</v>
      </c>
      <c r="P46" s="25">
        <v>2910.46</v>
      </c>
      <c r="Q46" s="31"/>
      <c r="R46" s="47">
        <v>20.330875320330225</v>
      </c>
      <c r="S46" s="47">
        <v>20.692642504361952</v>
      </c>
      <c r="T46" s="47">
        <v>21.692823327800859</v>
      </c>
    </row>
    <row r="47" spans="2:20" x14ac:dyDescent="0.25">
      <c r="C47" s="27"/>
      <c r="D47" s="27" t="s">
        <v>21</v>
      </c>
      <c r="E47" s="27"/>
      <c r="F47" s="27"/>
      <c r="G47" s="27"/>
      <c r="H47" s="27"/>
      <c r="I47" s="27"/>
      <c r="J47" s="27"/>
      <c r="K47" s="27"/>
      <c r="L47" s="27"/>
      <c r="M47" s="27"/>
      <c r="N47" s="28">
        <v>341.61399999999998</v>
      </c>
      <c r="O47" s="28">
        <v>407.697</v>
      </c>
      <c r="P47" s="28">
        <v>456.185</v>
      </c>
      <c r="Q47" s="27"/>
      <c r="R47" s="48">
        <v>2.4437089515531505</v>
      </c>
      <c r="S47" s="48">
        <v>2.9684037994867265</v>
      </c>
      <c r="T47" s="48">
        <v>3.4001293987180152</v>
      </c>
    </row>
    <row r="48" spans="2:20" x14ac:dyDescent="0.25">
      <c r="D48" t="s">
        <v>22</v>
      </c>
      <c r="L48" s="31"/>
      <c r="M48" s="31"/>
      <c r="N48" s="25">
        <v>65.087999999999994</v>
      </c>
      <c r="O48" s="25">
        <v>9.7669999999999995</v>
      </c>
      <c r="P48" s="25">
        <v>-61.308</v>
      </c>
      <c r="Q48" s="31"/>
      <c r="R48" s="47">
        <v>0.46560190226012826</v>
      </c>
      <c r="S48" s="47">
        <v>7.1112615274546681E-2</v>
      </c>
      <c r="T48" s="47">
        <v>-0.45695306328924468</v>
      </c>
    </row>
    <row r="49" spans="2:20" x14ac:dyDescent="0.25">
      <c r="C49" t="s">
        <v>23</v>
      </c>
      <c r="L49" s="31"/>
      <c r="M49" s="31"/>
      <c r="N49" s="25">
        <v>-1736.2510000000002</v>
      </c>
      <c r="O49" s="25">
        <v>-1735.425</v>
      </c>
      <c r="P49" s="25">
        <v>-1768.617</v>
      </c>
      <c r="Q49" s="31"/>
      <c r="R49" s="47">
        <v>-12.420135330645435</v>
      </c>
      <c r="S49" s="47">
        <v>-12.635467427340041</v>
      </c>
      <c r="T49" s="47">
        <v>-13.182210411943531</v>
      </c>
    </row>
    <row r="50" spans="2:20" x14ac:dyDescent="0.25">
      <c r="C50" s="27" t="s">
        <v>24</v>
      </c>
      <c r="D50" s="27"/>
      <c r="E50" s="27"/>
      <c r="F50" s="27"/>
      <c r="G50" s="27"/>
      <c r="H50" s="27"/>
      <c r="I50" s="27"/>
      <c r="J50" s="27"/>
      <c r="K50" s="27"/>
      <c r="L50" s="27"/>
      <c r="M50" s="27"/>
      <c r="N50" s="28">
        <v>-1176.72</v>
      </c>
      <c r="O50" s="28">
        <v>-1068.912</v>
      </c>
      <c r="P50" s="28">
        <v>-1058.395</v>
      </c>
      <c r="Q50" s="27"/>
      <c r="R50" s="48">
        <v>-8.4175742137957563</v>
      </c>
      <c r="S50" s="48">
        <v>-7.7826484916910257</v>
      </c>
      <c r="T50" s="48">
        <v>-7.888641570757815</v>
      </c>
    </row>
    <row r="51" spans="2:20" x14ac:dyDescent="0.25">
      <c r="C51" t="s">
        <v>25</v>
      </c>
      <c r="L51" s="31"/>
      <c r="M51" s="31"/>
      <c r="N51" s="25">
        <v>335.85</v>
      </c>
      <c r="O51" s="25">
        <v>455.16899999999998</v>
      </c>
      <c r="P51" s="25">
        <v>478.32499999999999</v>
      </c>
      <c r="Q51" s="31"/>
      <c r="R51" s="47">
        <v>2.4024766297023121</v>
      </c>
      <c r="S51" s="47">
        <v>3.3140430000921612</v>
      </c>
      <c r="T51" s="47">
        <v>3.5651476805282827</v>
      </c>
    </row>
    <row r="52" spans="2:20" x14ac:dyDescent="0.25">
      <c r="C52" t="s">
        <v>26</v>
      </c>
      <c r="L52" s="31"/>
      <c r="M52" s="31"/>
      <c r="N52" s="25">
        <v>-91.908999999999992</v>
      </c>
      <c r="O52" s="25">
        <v>-153.03899999999999</v>
      </c>
      <c r="P52" s="25">
        <v>-75.419999999999987</v>
      </c>
      <c r="Q52" s="31"/>
      <c r="R52" s="47">
        <v>-0.65746382182316443</v>
      </c>
      <c r="S52" s="47">
        <v>-1.1142626731853535</v>
      </c>
      <c r="T52" s="47">
        <v>-0.56213544779269964</v>
      </c>
    </row>
    <row r="53" spans="2:20" x14ac:dyDescent="0.25">
      <c r="C53" s="27" t="s">
        <v>27</v>
      </c>
      <c r="D53" s="27"/>
      <c r="E53" s="27"/>
      <c r="F53" s="27"/>
      <c r="G53" s="27"/>
      <c r="H53" s="27"/>
      <c r="I53" s="27"/>
      <c r="J53" s="27"/>
      <c r="K53" s="27"/>
      <c r="L53" s="27"/>
      <c r="M53" s="27"/>
      <c r="N53" s="28">
        <v>243.941</v>
      </c>
      <c r="O53" s="28">
        <v>302.13</v>
      </c>
      <c r="P53" s="28">
        <v>402.90499999999997</v>
      </c>
      <c r="Q53" s="27"/>
      <c r="R53" s="48">
        <v>1.7450128078791476</v>
      </c>
      <c r="S53" s="48">
        <v>2.1997803269068075</v>
      </c>
      <c r="T53" s="48">
        <v>3.0030122327355828</v>
      </c>
    </row>
    <row r="54" spans="2:20" x14ac:dyDescent="0.25">
      <c r="C54" s="13" t="s">
        <v>68</v>
      </c>
      <c r="D54" s="13"/>
      <c r="E54" s="13"/>
      <c r="F54" s="13"/>
      <c r="G54" s="13"/>
      <c r="H54" s="13"/>
      <c r="I54" s="13"/>
      <c r="J54" s="13"/>
      <c r="K54" s="13"/>
      <c r="L54" s="37"/>
      <c r="M54" s="37"/>
      <c r="N54" s="51">
        <v>139.79324329228325</v>
      </c>
      <c r="O54" s="51">
        <v>137.34553232632831</v>
      </c>
      <c r="P54" s="51">
        <v>134.16695263774372</v>
      </c>
      <c r="Q54" s="37"/>
      <c r="R54" s="31"/>
      <c r="S54" s="31"/>
      <c r="T54" s="31"/>
    </row>
    <row r="55" spans="2:20" x14ac:dyDescent="0.25">
      <c r="N55" s="31"/>
      <c r="O55" s="31"/>
      <c r="P55" s="31"/>
      <c r="Q55" s="31"/>
      <c r="R55" s="31"/>
      <c r="S55" s="31"/>
      <c r="T55" s="31"/>
    </row>
    <row r="56" spans="2:20" x14ac:dyDescent="0.25">
      <c r="B56" s="30" t="s">
        <v>9</v>
      </c>
      <c r="C56" s="27"/>
      <c r="D56" s="27"/>
      <c r="E56" s="27"/>
      <c r="F56" s="27"/>
      <c r="G56" s="27"/>
      <c r="H56" s="27"/>
      <c r="I56" s="27"/>
      <c r="J56" s="27"/>
      <c r="K56" s="27"/>
      <c r="L56" s="27"/>
      <c r="M56" s="27"/>
      <c r="N56" s="53">
        <v>2015</v>
      </c>
      <c r="O56" s="53">
        <v>2016</v>
      </c>
      <c r="P56" s="53">
        <v>2017</v>
      </c>
      <c r="Q56" s="31"/>
      <c r="R56" s="31"/>
      <c r="S56" s="31"/>
      <c r="T56" s="31"/>
    </row>
    <row r="57" spans="2:20" x14ac:dyDescent="0.25">
      <c r="C57" t="s">
        <v>10</v>
      </c>
      <c r="N57" s="26">
        <f>N53/AVERAGE(M41:N41)</f>
        <v>2.9280034462773767E-2</v>
      </c>
      <c r="O57" s="26">
        <f>O53/AVERAGE(N41:O41)</f>
        <v>3.4809340143350471E-2</v>
      </c>
      <c r="P57" s="26">
        <f>P53/AVERAGE(O41:P41)</f>
        <v>4.5129337519291601E-2</v>
      </c>
      <c r="Q57" s="31"/>
      <c r="R57" s="31"/>
      <c r="S57" s="31"/>
      <c r="T57" s="31"/>
    </row>
    <row r="58" spans="2:20" x14ac:dyDescent="0.25">
      <c r="C58" t="s">
        <v>11</v>
      </c>
      <c r="N58" s="26">
        <f>N53/AVERAGE(M$30:N$30)</f>
        <v>3.3692328590428497E-3</v>
      </c>
      <c r="O58" s="26">
        <f>O53/AVERAGE(N$30:O$30)</f>
        <v>3.9110749985686059E-3</v>
      </c>
      <c r="P58" s="26">
        <f>P53/AVERAGE(O$30:P$30)</f>
        <v>4.9545310594855275E-3</v>
      </c>
      <c r="Q58" s="31"/>
      <c r="R58" s="31"/>
      <c r="S58" s="31"/>
      <c r="T58" s="31"/>
    </row>
    <row r="59" spans="2:20" x14ac:dyDescent="0.25">
      <c r="C59" s="27" t="s">
        <v>49</v>
      </c>
      <c r="D59" s="27"/>
      <c r="E59" s="27"/>
      <c r="F59" s="27"/>
      <c r="G59" s="27"/>
      <c r="H59" s="27"/>
      <c r="I59" s="27"/>
      <c r="J59" s="27"/>
      <c r="K59" s="27"/>
      <c r="L59" s="27"/>
      <c r="M59" s="27"/>
      <c r="N59" s="29">
        <f t="shared" ref="N59:P60" si="0">N45/AVERAGE(M$30:N$30)</f>
        <v>4.4871647104621409E-2</v>
      </c>
      <c r="O59" s="29">
        <f t="shared" si="0"/>
        <v>4.2194328349665244E-2</v>
      </c>
      <c r="P59" s="29">
        <f t="shared" si="0"/>
        <v>4.0645796970915513E-2</v>
      </c>
      <c r="Q59" s="31"/>
      <c r="R59" s="31"/>
      <c r="S59" s="31"/>
      <c r="T59" s="31"/>
    </row>
    <row r="60" spans="2:20" x14ac:dyDescent="0.25">
      <c r="C60" t="s">
        <v>50</v>
      </c>
      <c r="N60" s="26">
        <f t="shared" si="0"/>
        <v>3.9254412846180038E-2</v>
      </c>
      <c r="O60" s="26">
        <f t="shared" si="0"/>
        <v>3.6790253900909932E-2</v>
      </c>
      <c r="P60" s="26">
        <f t="shared" si="0"/>
        <v>3.5789986392301534E-2</v>
      </c>
      <c r="Q60" s="31"/>
      <c r="R60" s="31"/>
      <c r="S60" s="31"/>
      <c r="T60" s="31"/>
    </row>
    <row r="61" spans="2:20" x14ac:dyDescent="0.25">
      <c r="C61" t="s">
        <v>51</v>
      </c>
      <c r="N61" s="26">
        <f>-N49/N45</f>
        <v>0.53442494985103828</v>
      </c>
      <c r="O61" s="26">
        <f t="shared" ref="O61" si="1">-O49/O45</f>
        <v>0.53241963659523872</v>
      </c>
      <c r="P61" s="26">
        <f>-P49/P45</f>
        <v>0.53507917649546777</v>
      </c>
      <c r="Q61" s="31"/>
      <c r="R61" s="31"/>
      <c r="S61" s="31"/>
      <c r="T61" s="31"/>
    </row>
    <row r="62" spans="2:20" x14ac:dyDescent="0.25">
      <c r="C62" s="27" t="s">
        <v>52</v>
      </c>
      <c r="D62" s="27"/>
      <c r="E62" s="27"/>
      <c r="F62" s="27"/>
      <c r="G62" s="27"/>
      <c r="H62" s="27"/>
      <c r="I62" s="27"/>
      <c r="J62" s="27"/>
      <c r="K62" s="27"/>
      <c r="L62" s="27"/>
      <c r="M62" s="27"/>
      <c r="N62" s="29">
        <f t="shared" ref="N62:P63" si="2">-N49/AVERAGE(M$30:N$30)</f>
        <v>2.3980527753620782E-2</v>
      </c>
      <c r="O62" s="29">
        <f t="shared" si="2"/>
        <v>2.2465088966308947E-2</v>
      </c>
      <c r="P62" s="29">
        <f t="shared" si="2"/>
        <v>2.1748719571199452E-2</v>
      </c>
      <c r="Q62" s="31"/>
      <c r="R62" s="31"/>
      <c r="S62" s="31"/>
      <c r="T62" s="31"/>
    </row>
    <row r="63" spans="2:20" x14ac:dyDescent="0.25">
      <c r="C63" t="s">
        <v>53</v>
      </c>
      <c r="N63" s="26">
        <f t="shared" si="2"/>
        <v>1.6252469613115064E-2</v>
      </c>
      <c r="O63" s="26">
        <f t="shared" si="2"/>
        <v>1.3837073441465481E-2</v>
      </c>
      <c r="P63" s="26">
        <f t="shared" si="2"/>
        <v>1.3015105051325212E-2</v>
      </c>
      <c r="Q63" s="31"/>
      <c r="R63" s="31"/>
      <c r="S63" s="31"/>
      <c r="T63" s="31"/>
    </row>
    <row r="64" spans="2:20" x14ac:dyDescent="0.25">
      <c r="C64" t="s">
        <v>54</v>
      </c>
      <c r="N64" s="26">
        <f>N32/N37</f>
        <v>0.69129070181086871</v>
      </c>
      <c r="O64" s="26">
        <f t="shared" ref="O64:P64" si="3">O32/O37</f>
        <v>0.70794311751778405</v>
      </c>
      <c r="P64" s="26">
        <f t="shared" si="3"/>
        <v>0.71189893863501097</v>
      </c>
      <c r="Q64" s="31"/>
      <c r="R64" s="31"/>
      <c r="S64" s="31"/>
      <c r="T64" s="31"/>
    </row>
    <row r="66" spans="1:22" x14ac:dyDescent="0.25">
      <c r="B66" s="34" t="s">
        <v>5</v>
      </c>
      <c r="C66" s="35"/>
      <c r="D66" s="35"/>
      <c r="E66" s="35"/>
      <c r="F66" s="35"/>
      <c r="G66" s="35"/>
      <c r="H66" s="35"/>
      <c r="I66" s="35"/>
      <c r="J66" s="35"/>
      <c r="K66" s="35"/>
      <c r="L66" s="35"/>
      <c r="M66" s="35"/>
      <c r="N66" s="35"/>
      <c r="O66" s="35"/>
      <c r="P66" s="55">
        <v>2017</v>
      </c>
    </row>
    <row r="67" spans="1:22" hidden="1" outlineLevel="1" x14ac:dyDescent="0.25">
      <c r="C67" t="s">
        <v>42</v>
      </c>
      <c r="P67" s="45" t="s">
        <v>71</v>
      </c>
    </row>
    <row r="68" spans="1:22" collapsed="1" x14ac:dyDescent="0.25">
      <c r="C68" s="31" t="s">
        <v>6</v>
      </c>
      <c r="D68" s="31"/>
      <c r="E68" s="31"/>
      <c r="F68" s="31"/>
      <c r="G68" s="31"/>
      <c r="H68" s="31"/>
      <c r="I68" s="31"/>
      <c r="J68" s="31"/>
      <c r="K68" s="31"/>
      <c r="L68" s="31"/>
      <c r="M68" s="31"/>
      <c r="N68" s="31"/>
      <c r="O68" s="31"/>
      <c r="P68" s="25">
        <v>413</v>
      </c>
    </row>
    <row r="69" spans="1:22" x14ac:dyDescent="0.25">
      <c r="C69" s="35" t="s">
        <v>7</v>
      </c>
      <c r="D69" s="35"/>
      <c r="E69" s="35"/>
      <c r="F69" s="35"/>
      <c r="G69" s="35"/>
      <c r="H69" s="35"/>
      <c r="I69" s="35"/>
      <c r="J69" s="35"/>
      <c r="K69" s="35"/>
      <c r="L69" s="35"/>
      <c r="M69" s="35"/>
      <c r="N69" s="35"/>
      <c r="O69" s="35"/>
      <c r="P69" s="36">
        <v>38</v>
      </c>
    </row>
    <row r="70" spans="1:22" hidden="1" outlineLevel="1" x14ac:dyDescent="0.25">
      <c r="C70" s="31" t="s">
        <v>43</v>
      </c>
      <c r="D70" s="31"/>
      <c r="E70" s="31"/>
      <c r="F70" s="31"/>
      <c r="G70" s="31"/>
      <c r="H70" s="31"/>
      <c r="I70" s="31"/>
      <c r="J70" s="31"/>
      <c r="K70" s="31"/>
      <c r="L70" s="31"/>
      <c r="M70" s="31"/>
      <c r="N70" s="31"/>
      <c r="O70" s="31"/>
      <c r="P70" s="45" t="s">
        <v>71</v>
      </c>
    </row>
    <row r="71" spans="1:22" collapsed="1" x14ac:dyDescent="0.25">
      <c r="V71" s="59" t="s">
        <v>85</v>
      </c>
    </row>
    <row r="72" spans="1:22" x14ac:dyDescent="0.25">
      <c r="A72" s="52" t="s">
        <v>82</v>
      </c>
    </row>
    <row r="73" spans="1:22" x14ac:dyDescent="0.25">
      <c r="A73" s="52" t="s">
        <v>83</v>
      </c>
    </row>
  </sheetData>
  <mergeCells count="4">
    <mergeCell ref="N8:O8"/>
    <mergeCell ref="C15:E15"/>
    <mergeCell ref="N28:P28"/>
    <mergeCell ref="R28:T28"/>
  </mergeCells>
  <hyperlinks>
    <hyperlink ref="J13" r:id="rId1" xr:uid="{00000000-0004-0000-0700-000000000000}"/>
    <hyperlink ref="J26" r:id="rId2" xr:uid="{00000000-0004-0000-0700-000001000000}"/>
    <hyperlink ref="N4" r:id="rId3" xr:uid="{00000000-0004-0000-0700-000002000000}"/>
  </hyperlinks>
  <pageMargins left="0.39370078740157483" right="0.31496062992125984" top="0.38" bottom="0.31496062992125984" header="0.31496062992125984" footer="0.31496062992125984"/>
  <pageSetup paperSize="9" scale="74" orientation="portrait" r:id="rId4"/>
  <ignoredErrors>
    <ignoredError sqref="N57:P60 N62:P63" formulaRange="1"/>
  </ignoredError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9</vt:i4>
      </vt:variant>
      <vt:variant>
        <vt:lpstr>Névvel ellátott tartományok</vt:lpstr>
      </vt:variant>
      <vt:variant>
        <vt:i4>9</vt:i4>
      </vt:variant>
    </vt:vector>
  </HeadingPairs>
  <TitlesOfParts>
    <vt:vector size="18" baseType="lpstr">
      <vt:lpstr>Ipoteka_Uzbekistan</vt:lpstr>
      <vt:lpstr>Nova_KBM_Slovenia</vt:lpstr>
      <vt:lpstr>Alpha_Albania</vt:lpstr>
      <vt:lpstr>SKB_Slovenia</vt:lpstr>
      <vt:lpstr>SG_Montenegro</vt:lpstr>
      <vt:lpstr>SG_Moldova</vt:lpstr>
      <vt:lpstr>SG_Serbia</vt:lpstr>
      <vt:lpstr>SG_Expressbank_Bulgaria</vt:lpstr>
      <vt:lpstr>SG_Albania</vt:lpstr>
      <vt:lpstr>Alpha_Albania!Nyomtatási_terület</vt:lpstr>
      <vt:lpstr>Ipoteka_Uzbekistan!Nyomtatási_terület</vt:lpstr>
      <vt:lpstr>Nova_KBM_Slovenia!Nyomtatási_terület</vt:lpstr>
      <vt:lpstr>SG_Albania!Nyomtatási_terület</vt:lpstr>
      <vt:lpstr>SG_Expressbank_Bulgaria!Nyomtatási_terület</vt:lpstr>
      <vt:lpstr>SG_Moldova!Nyomtatási_terület</vt:lpstr>
      <vt:lpstr>SG_Montenegro!Nyomtatási_terület</vt:lpstr>
      <vt:lpstr>SG_Serbia!Nyomtatási_terület</vt:lpstr>
      <vt:lpstr>SKB_Slovenia!Nyomtatási_terület</vt:lpstr>
    </vt:vector>
  </TitlesOfParts>
  <Company>OTP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Hegedűs Csaba</dc:creator>
  <cp:lastModifiedBy>Hegedűs Csaba</cp:lastModifiedBy>
  <cp:lastPrinted>2022-09-20T10:19:35Z</cp:lastPrinted>
  <dcterms:created xsi:type="dcterms:W3CDTF">2018-06-29T10:02:04Z</dcterms:created>
  <dcterms:modified xsi:type="dcterms:W3CDTF">2023-02-06T09:52:50Z</dcterms:modified>
</cp:coreProperties>
</file>